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2" windowWidth="14952" windowHeight="8892" activeTab="0"/>
  </bookViews>
  <sheets>
    <sheet name="OUTIL Financier ASBL" sheetId="1" r:id="rId1"/>
    <sheet name="INTERPRETATION Bilan Santé" sheetId="2" r:id="rId2"/>
  </sheets>
  <definedNames>
    <definedName name="__123Graph_A" hidden="1">'OUTIL Financier ASBL'!#REF!</definedName>
    <definedName name="__123Graph_ASANTE" hidden="1">'OUTIL Financier ASBL'!#REF!</definedName>
    <definedName name="__123Graph_X" hidden="1">'OUTIL Financier ASBL'!#REF!</definedName>
    <definedName name="__123Graph_XSANTE" hidden="1">'OUTIL Financier ASBL'!#REF!</definedName>
    <definedName name="_xlfn.SINGLE" hidden="1">#NAME?</definedName>
    <definedName name="_xlnm.Print_Area" localSheetId="1">'INTERPRETATION Bilan Santé'!$B$2:$B$45</definedName>
    <definedName name="_xlnm.Print_Area" localSheetId="0">'OUTIL Financier ASBL'!$L$2:$BV$46</definedName>
    <definedName name="Zone_impres_MI" localSheetId="0">'OUTIL Financier ASBL'!$B$1:$CI$111</definedName>
  </definedNames>
  <calcPr fullCalcOnLoad="1"/>
</workbook>
</file>

<file path=xl/sharedStrings.xml><?xml version="1.0" encoding="utf-8"?>
<sst xmlns="http://schemas.openxmlformats.org/spreadsheetml/2006/main" count="894" uniqueCount="307">
  <si>
    <t>=</t>
  </si>
  <si>
    <t>|</t>
  </si>
  <si>
    <t xml:space="preserve">        |</t>
  </si>
  <si>
    <t>29</t>
  </si>
  <si>
    <t>54/58</t>
  </si>
  <si>
    <t>ZONE</t>
  </si>
  <si>
    <t xml:space="preserve"> 2,59</t>
  </si>
  <si>
    <t xml:space="preserve"> 0 %  &lt;  92 %</t>
  </si>
  <si>
    <t>20</t>
  </si>
  <si>
    <t>60</t>
  </si>
  <si>
    <t>A</t>
  </si>
  <si>
    <t>37</t>
  </si>
  <si>
    <t xml:space="preserve"> 1,73</t>
  </si>
  <si>
    <t>DIFFICULTES A VENIR</t>
  </si>
  <si>
    <t>SITUATION SAINE</t>
  </si>
  <si>
    <t>RISQUES</t>
  </si>
  <si>
    <t>L</t>
  </si>
  <si>
    <t xml:space="preserve"> 0,86</t>
  </si>
  <si>
    <t xml:space="preserve"> 5 %  &lt;  52 %</t>
  </si>
  <si>
    <t>50/53</t>
  </si>
  <si>
    <t>DE</t>
  </si>
  <si>
    <t>I</t>
  </si>
  <si>
    <t xml:space="preserve"> 0,75</t>
  </si>
  <si>
    <t>490/1</t>
  </si>
  <si>
    <t>430/8</t>
  </si>
  <si>
    <t>FAILLITE</t>
  </si>
  <si>
    <t>Q</t>
  </si>
  <si>
    <t xml:space="preserve"> 0,63</t>
  </si>
  <si>
    <t>10 %  &lt;  44 %</t>
  </si>
  <si>
    <t>10/15</t>
  </si>
  <si>
    <t>U</t>
  </si>
  <si>
    <t xml:space="preserve"> 0,49</t>
  </si>
  <si>
    <t>13</t>
  </si>
  <si>
    <t>14</t>
  </si>
  <si>
    <t xml:space="preserve"> 0,34</t>
  </si>
  <si>
    <t>17 %  &lt;  32 %</t>
  </si>
  <si>
    <t>D</t>
  </si>
  <si>
    <t xml:space="preserve"> 0,26</t>
  </si>
  <si>
    <t>16</t>
  </si>
  <si>
    <t>17</t>
  </si>
  <si>
    <t xml:space="preserve"> 0,18</t>
  </si>
  <si>
    <t>26 %  =  26 %</t>
  </si>
  <si>
    <t>42/48</t>
  </si>
  <si>
    <t>T</t>
  </si>
  <si>
    <t xml:space="preserve"> 0,09</t>
  </si>
  <si>
    <t>E</t>
  </si>
  <si>
    <t xml:space="preserve"> 0,00</t>
  </si>
  <si>
    <t>31 %  &gt;  20 %</t>
  </si>
  <si>
    <t>SITUATION GRAVE</t>
  </si>
  <si>
    <t>DIFFICULTES PASSAGERES</t>
  </si>
  <si>
    <t>492/3</t>
  </si>
  <si>
    <t>-0,23</t>
  </si>
  <si>
    <t>-20</t>
  </si>
  <si>
    <t>-10</t>
  </si>
  <si>
    <t xml:space="preserve"> 0</t>
  </si>
  <si>
    <t>-0,45</t>
  </si>
  <si>
    <t>46 %  &gt;  10 %</t>
  </si>
  <si>
    <t xml:space="preserve"> R   E   N   T   A   B   I   L   I   T   E</t>
  </si>
  <si>
    <t>-0,73</t>
  </si>
  <si>
    <t>-1,00</t>
  </si>
  <si>
    <t>62 %  &gt;   5 %</t>
  </si>
  <si>
    <t>-2,31</t>
  </si>
  <si>
    <t>%</t>
  </si>
  <si>
    <t>61</t>
  </si>
  <si>
    <t>-3,62</t>
  </si>
  <si>
    <t>94 %  &gt;   0 %</t>
  </si>
  <si>
    <t>62</t>
  </si>
  <si>
    <t>650</t>
  </si>
  <si>
    <t>9904</t>
  </si>
  <si>
    <t>ANNEXE</t>
  </si>
  <si>
    <t>9076</t>
  </si>
  <si>
    <t>Dettes fiscales échues</t>
  </si>
  <si>
    <t>9072</t>
  </si>
  <si>
    <t>C</t>
  </si>
  <si>
    <t>N</t>
  </si>
  <si>
    <t>Valeurs disponibles</t>
  </si>
  <si>
    <t>ECARTS Bilans</t>
  </si>
  <si>
    <t>Escompte à charge</t>
  </si>
  <si>
    <t>ECARTS C/Résultats</t>
  </si>
  <si>
    <t/>
  </si>
  <si>
    <t>En-cours de fabrication</t>
  </si>
  <si>
    <t>Produits finis</t>
  </si>
  <si>
    <t>TOTAL DU BILAN</t>
  </si>
  <si>
    <t>VENTES ET PRESTATIONS</t>
  </si>
  <si>
    <t>Rémunérations</t>
  </si>
  <si>
    <t>Approvisionnements &amp; marchandises</t>
  </si>
  <si>
    <t>----</t>
  </si>
  <si>
    <t>2,0 ---</t>
  </si>
  <si>
    <t>1,8 ---</t>
  </si>
  <si>
    <t>1,6 ---</t>
  </si>
  <si>
    <t>1,4 ---</t>
  </si>
  <si>
    <t>1,2 ---</t>
  </si>
  <si>
    <t>1,0 ---</t>
  </si>
  <si>
    <t>0,8 ---</t>
  </si>
  <si>
    <t>0,6 ---</t>
  </si>
  <si>
    <t>0,4 ---</t>
  </si>
  <si>
    <t>0,2 ---</t>
  </si>
  <si>
    <t>0,0 ---</t>
  </si>
  <si>
    <t xml:space="preserve">  |</t>
  </si>
  <si>
    <t>-15</t>
  </si>
  <si>
    <t>-5</t>
  </si>
  <si>
    <t>+5</t>
  </si>
  <si>
    <t>+10</t>
  </si>
  <si>
    <t>+15</t>
  </si>
  <si>
    <t>+20</t>
  </si>
  <si>
    <t>2,16</t>
  </si>
  <si>
    <t>1,30</t>
  </si>
  <si>
    <t>2,81</t>
  </si>
  <si>
    <t>0,69</t>
  </si>
  <si>
    <t>0,56</t>
  </si>
  <si>
    <t>0,30</t>
  </si>
  <si>
    <t>0,22</t>
  </si>
  <si>
    <t>0,14</t>
  </si>
  <si>
    <t>0,05</t>
  </si>
  <si>
    <t>-0,12</t>
  </si>
  <si>
    <t>-0,34</t>
  </si>
  <si>
    <t>-0,59</t>
  </si>
  <si>
    <t>-0,87</t>
  </si>
  <si>
    <t>-1,66</t>
  </si>
  <si>
    <t>-2,97</t>
  </si>
  <si>
    <t>-3,95</t>
  </si>
  <si>
    <t>0,81</t>
  </si>
  <si>
    <t>0,42</t>
  </si>
  <si>
    <t>Risque d'erreur en cas de classement en :</t>
  </si>
  <si>
    <t>9901</t>
  </si>
  <si>
    <t>Impôts sur le résultat de l'exercice</t>
  </si>
  <si>
    <t>CSC - Service Entreprise Provincial - Hainaut</t>
  </si>
  <si>
    <t>______________</t>
  </si>
  <si>
    <t>___________________</t>
  </si>
  <si>
    <t>30/36</t>
  </si>
  <si>
    <t>32</t>
  </si>
  <si>
    <t>33</t>
  </si>
  <si>
    <t>76A</t>
  </si>
  <si>
    <t>66A</t>
  </si>
  <si>
    <t>Constante (k)</t>
  </si>
  <si>
    <t>ETP</t>
  </si>
  <si>
    <t>[C 3.1]</t>
  </si>
  <si>
    <t>[C 3.2]</t>
  </si>
  <si>
    <t>ACTIF DU BILAN</t>
  </si>
  <si>
    <t>PASSIF DU BILAN</t>
  </si>
  <si>
    <t>COMPTE DE RESULTATS</t>
  </si>
  <si>
    <t>[C 4]</t>
  </si>
  <si>
    <t xml:space="preserve">70/76A  </t>
  </si>
  <si>
    <t>(s.o.) (s.o.)</t>
  </si>
  <si>
    <t>(9900+60/61+76A)</t>
  </si>
  <si>
    <t>(60/61)</t>
  </si>
  <si>
    <t>(65)</t>
  </si>
  <si>
    <t>[C 6.10]</t>
  </si>
  <si>
    <t>seuil  =&gt;</t>
  </si>
  <si>
    <t>Frais d'établissement</t>
  </si>
  <si>
    <t>Créances à plus d'un an</t>
  </si>
  <si>
    <t>Stocks</t>
  </si>
  <si>
    <t>Commandes en cours d'exécution</t>
  </si>
  <si>
    <t>Placements de trésorerie</t>
  </si>
  <si>
    <t>Comptes de régularisation</t>
  </si>
  <si>
    <t>Provisions &amp; impôts différés</t>
  </si>
  <si>
    <t>Dettes à plus d'un an</t>
  </si>
  <si>
    <t>Dettes à un an au plus</t>
  </si>
  <si>
    <t>Produits d'exploitation non récurrents</t>
  </si>
  <si>
    <t>Services &amp; biens divers</t>
  </si>
  <si>
    <t>Charges d'exploitation non récurrentes</t>
  </si>
  <si>
    <t>Dettes échues envers l'ONSS</t>
  </si>
  <si>
    <t>Effectif moyen du personnel (ETP)</t>
  </si>
  <si>
    <t>Provisions pour pensions (+/-)</t>
  </si>
  <si>
    <t>Résultat reporté (+/-)</t>
  </si>
  <si>
    <t>RESULTAT DE L'EXERCICE (+/-)</t>
  </si>
  <si>
    <t>Actifs Fixes</t>
  </si>
  <si>
    <t>Actifs Circulants</t>
  </si>
  <si>
    <t>dont Cash</t>
  </si>
  <si>
    <t>Capitaux Permanents</t>
  </si>
  <si>
    <t>Capitaux Temporaires</t>
  </si>
  <si>
    <t>Valeur Ajoutée (MB)</t>
  </si>
  <si>
    <t>Résultat Opérationnel</t>
  </si>
  <si>
    <t>Résultat Global (EBIT)</t>
  </si>
  <si>
    <t>Résultat Net</t>
  </si>
  <si>
    <t>Rentabilité chronique</t>
  </si>
  <si>
    <t>Liquidité immédiate</t>
  </si>
  <si>
    <t>Valeurs produites</t>
  </si>
  <si>
    <t>Crédit de caisse</t>
  </si>
  <si>
    <t>Rentabilité économique nette (%)</t>
  </si>
  <si>
    <t>Liquidité générale (indice)</t>
  </si>
  <si>
    <t>FAIBLES</t>
  </si>
  <si>
    <t>SIGNIFICATIFS</t>
  </si>
  <si>
    <t>ELEVES</t>
  </si>
  <si>
    <t>euros</t>
  </si>
  <si>
    <t>VENTES</t>
  </si>
  <si>
    <t>TOTAL BILANTAIRE</t>
  </si>
  <si>
    <t>EMPLOI</t>
  </si>
  <si>
    <t>Score de défaillance à 3 ans</t>
  </si>
  <si>
    <r>
      <t>GRAPHIQUE DE SANTE  &amp;  ECHELLE DES PROBABILITES DE FAILLITE</t>
    </r>
    <r>
      <rPr>
        <b/>
        <sz val="12"/>
        <rFont val="Courier 10 Pitch"/>
        <family val="0"/>
      </rPr>
      <t xml:space="preserve"> :</t>
    </r>
  </si>
  <si>
    <t>Actifs immobilisés</t>
  </si>
  <si>
    <t>21/28</t>
  </si>
  <si>
    <t>Actifs circulants (élargis)</t>
  </si>
  <si>
    <t>29/58</t>
  </si>
  <si>
    <t>Dettes (globales)</t>
  </si>
  <si>
    <t>17/49</t>
  </si>
  <si>
    <r>
      <t xml:space="preserve">N° BCE </t>
    </r>
    <r>
      <rPr>
        <u val="single"/>
        <sz val="12"/>
        <color indexed="8"/>
        <rFont val="Courier 10 Pitch"/>
        <family val="0"/>
      </rPr>
      <t>(BE 0xxx.xxx.xxx)</t>
    </r>
  </si>
  <si>
    <t>Résultat d'exploitation (+/-)</t>
  </si>
  <si>
    <t>CONTROLES</t>
  </si>
  <si>
    <t>Coût moyen</t>
  </si>
  <si>
    <t xml:space="preserve">  Activité / Cessation</t>
  </si>
  <si>
    <t>Créances à un an au plus</t>
  </si>
  <si>
    <t>40/41</t>
  </si>
  <si>
    <t>CALCULS INTERNES</t>
  </si>
  <si>
    <r>
      <t xml:space="preserve">-   </t>
    </r>
    <r>
      <rPr>
        <b/>
        <u val="single"/>
        <sz val="12"/>
        <rFont val="Courier 10 Pitch"/>
        <family val="0"/>
      </rPr>
      <t xml:space="preserve">Situation au </t>
    </r>
  </si>
  <si>
    <t>DONNEES DE BASE</t>
  </si>
  <si>
    <t>[C 1]</t>
  </si>
  <si>
    <t>[A 3.1] [M 3.1]</t>
  </si>
  <si>
    <t>[A 3.2] [M 3.2]</t>
  </si>
  <si>
    <r>
      <t xml:space="preserve">Schéma </t>
    </r>
    <r>
      <rPr>
        <i/>
        <sz val="12"/>
        <rFont val="Courier 10 Pitch"/>
        <family val="0"/>
      </rPr>
      <t>(C = Complet ; A = Abrégé ; M = Micro)</t>
    </r>
  </si>
  <si>
    <t>Année de l'exercice sous revue</t>
  </si>
  <si>
    <t>[A 1] [M 1]</t>
  </si>
  <si>
    <t>[A 4] [M 4]</t>
  </si>
  <si>
    <t>[A 5 / A 9] [M 5 / M 11]</t>
  </si>
  <si>
    <r>
      <t xml:space="preserve">9087 </t>
    </r>
    <r>
      <rPr>
        <sz val="12"/>
        <rFont val="Courier 10 Pitch"/>
        <family val="0"/>
      </rPr>
      <t>(100.3)</t>
    </r>
  </si>
  <si>
    <r>
      <t>635</t>
    </r>
    <r>
      <rPr>
        <sz val="12"/>
        <rFont val="Courier 10 Pitch"/>
        <family val="0"/>
      </rPr>
      <t xml:space="preserve"> (s.o.)</t>
    </r>
  </si>
  <si>
    <r>
      <t>653</t>
    </r>
    <r>
      <rPr>
        <sz val="12"/>
        <rFont val="Courier 10 Pitch"/>
        <family val="0"/>
      </rPr>
      <t xml:space="preserve"> (s.o.)</t>
    </r>
  </si>
  <si>
    <r>
      <t>9134</t>
    </r>
    <r>
      <rPr>
        <sz val="12"/>
        <rFont val="Courier 10 Pitch"/>
        <family val="0"/>
      </rPr>
      <t xml:space="preserve"> (67/77)</t>
    </r>
  </si>
  <si>
    <t>RESULTAT EXPLOITATION calculé</t>
  </si>
  <si>
    <t>RESULTAT EXPLOITATION saisi</t>
  </si>
  <si>
    <t xml:space="preserve">60/66A  </t>
  </si>
  <si>
    <t>(9900-9901+60/61)</t>
  </si>
  <si>
    <t>Dans un but de transparence (pour éviter l'effet de "boîte noire"), toutes les formules sont visibles dans toutes les cellules</t>
  </si>
  <si>
    <t>ATTILIO VIRGA</t>
  </si>
  <si>
    <t>OUTIL-SANTE SIMPLIFIE</t>
  </si>
  <si>
    <t>Commune du siège social</t>
  </si>
  <si>
    <t>ACTIF calculé</t>
  </si>
  <si>
    <t>PASSIF calculé</t>
  </si>
  <si>
    <t>TOTAL BILAN saisi</t>
  </si>
  <si>
    <t>Modèle des comptes annuels (C/A/M)</t>
  </si>
  <si>
    <t>Durée de l'exercice social</t>
  </si>
  <si>
    <t>Graphique de Santé : Rentabilité</t>
  </si>
  <si>
    <t>Graphique de Santé : Liquidité</t>
  </si>
  <si>
    <t>Modèle de faillite : score</t>
  </si>
  <si>
    <t>Toutes les données figurent dans les comptes et sont à encoder dans les 2 colonnes jaunes (le reste de la feuille est verrouillé)</t>
  </si>
  <si>
    <t>================================================================================================================================================</t>
  </si>
  <si>
    <r>
      <t xml:space="preserve">Date de clôture du </t>
    </r>
    <r>
      <rPr>
        <b/>
        <u val="single"/>
        <sz val="12"/>
        <rFont val="Courier 10 Pitch"/>
        <family val="0"/>
      </rPr>
      <t>dernier</t>
    </r>
    <r>
      <rPr>
        <b/>
        <sz val="12"/>
        <rFont val="Courier 10 Pitch"/>
        <family val="0"/>
      </rPr>
      <t xml:space="preserve"> exercice</t>
    </r>
  </si>
  <si>
    <r>
      <t xml:space="preserve">Date de clôture de l'exercice </t>
    </r>
    <r>
      <rPr>
        <b/>
        <u val="single"/>
        <sz val="12"/>
        <rFont val="Courier 10 Pitch"/>
        <family val="0"/>
      </rPr>
      <t>précédent</t>
    </r>
  </si>
  <si>
    <r>
      <t>Année de l'exercice sous revue (</t>
    </r>
    <r>
      <rPr>
        <u val="single"/>
        <sz val="12"/>
        <color indexed="8"/>
        <rFont val="Courier 10 Pitch"/>
        <family val="0"/>
      </rPr>
      <t>20xx</t>
    </r>
    <r>
      <rPr>
        <b/>
        <sz val="12"/>
        <color indexed="8"/>
        <rFont val="Courier 10 Pitch"/>
        <family val="0"/>
      </rPr>
      <t>)</t>
    </r>
  </si>
  <si>
    <t>Charges des dettes</t>
  </si>
  <si>
    <t xml:space="preserve">Permet de connaître, en 5 petites minutes, l'état de santé de votre entreprise à partir de ses seuls comptes annuels </t>
  </si>
  <si>
    <t>Les résultats se limitent à une seule page qui peut, soit être enregistrée au format PDF, soit être tout simplement imprimée</t>
  </si>
  <si>
    <t xml:space="preserve">A P E R C U   D E   L ' E T A T   D E   S A N T E   D E   L ’ A S S O C I A T I O N </t>
  </si>
  <si>
    <t>L'ESPERANDERIE</t>
  </si>
  <si>
    <t>ASBL</t>
  </si>
  <si>
    <t>Bon-Secours</t>
  </si>
  <si>
    <t>BE 0402.481.407</t>
  </si>
  <si>
    <t>20/58 ou 10/49</t>
  </si>
  <si>
    <t>Etablissements de crédit</t>
  </si>
  <si>
    <t>Dénomination complète de l'association</t>
  </si>
  <si>
    <r>
      <t xml:space="preserve">Forme juridique </t>
    </r>
    <r>
      <rPr>
        <sz val="12"/>
        <rFont val="Courier 10 Pitch"/>
        <family val="0"/>
      </rPr>
      <t xml:space="preserve">(ASBL,AISBL </t>
    </r>
    <r>
      <rPr>
        <b/>
        <sz val="12"/>
        <rFont val="Courier 10 Pitch"/>
        <family val="0"/>
      </rPr>
      <t>ou</t>
    </r>
    <r>
      <rPr>
        <sz val="12"/>
        <rFont val="Courier 10 Pitch"/>
        <family val="0"/>
      </rPr>
      <t xml:space="preserve"> FP,FUP)</t>
    </r>
  </si>
  <si>
    <t>Fonds social</t>
  </si>
  <si>
    <t>Fonds affectés et autres réserves</t>
  </si>
  <si>
    <t>Coût des ventes et des prestations</t>
  </si>
  <si>
    <t>[C 6.8] [A 9] [M 8]</t>
  </si>
  <si>
    <t>[C 6.9] [A 6.4] [M 11]</t>
  </si>
  <si>
    <t>[C 6.9]</t>
  </si>
  <si>
    <t>[C 6.12] [A 4] [M 4]</t>
  </si>
  <si>
    <t>[C 6.8 / C 6.12]</t>
  </si>
  <si>
    <t>dont Fonds Social</t>
  </si>
  <si>
    <t>Difficultés paiement</t>
  </si>
  <si>
    <t>Cotisations &amp; Subsides</t>
  </si>
  <si>
    <t>73 (et/ou 74)</t>
  </si>
  <si>
    <t>Part subsidiation</t>
  </si>
  <si>
    <t>AVOIRS                             B I L A N                                 DETTES</t>
  </si>
  <si>
    <t>COMPTE  DE  RESULTATS</t>
  </si>
  <si>
    <t>MODELE  DE  FAILLITE</t>
  </si>
  <si>
    <t>[ Version 2023 - 2 ]</t>
  </si>
  <si>
    <t>INTERPRETATION DU BILAN DE SANTE POUR LES ASSOCIATIONS</t>
  </si>
  <si>
    <t>Partie 1. DONNEES FINANCIERES</t>
  </si>
  <si>
    <t>1.1. Le Bilan</t>
  </si>
  <si>
    <t xml:space="preserve">L'asbl dispose de 26.373.887 eur d'avoirs au 31/12/2022. </t>
  </si>
  <si>
    <t>Ces avoirs comprennent 9,1 % d'actifs fixes (bâtiments &amp; équipements) et 90,9 % d'actifs circulants (5,6 % d'avoirs d'exploitation et 85,3 % d'avoirs de trésorerie). Ils sont financés par 79,9 % de capitaux permanents (79,9 % de fonds social et 0 % de dettes à long terme) et 20,1 % de capitaux temporaires (dettes d'exploitation et de trésorerie).</t>
  </si>
  <si>
    <t xml:space="preserve">La situation financière de l'association apparaît équilibrée dans la mesure où les capitaux permanents (21,1 millions eur), qui se confondent ici avec le fonds social vu l'absence de dettes à long terme, s'avèrent amplement suffisants pour couvrir intégralement le financement de ses actifs fixes dont la valeur est relativement faible (2,4 millions eur). </t>
  </si>
  <si>
    <t>L'entreprise n'apparaît pas surendettée étant donné que ses dettes à long terme sont nulles. Ce qui signifie que l'asbl pourrait disposer, en cas de besoin, d'une marge d'emprunt supplémentaire, garantie par le niveau élevé de ses fonds propres (21,1 millions eur).</t>
  </si>
  <si>
    <t>L'asbl est bien loin d'être confrontée à de quelconques risques de cessation de paiement dans les 12 mois qui suivent la clôture de son dernier exercice sous revue. En effet, elle dispose de suffisamment d'actifs rapidement transformables en argent dans l'année (24 millions eur), pour pouvoir faire face au remboursement de l'intégralité de ses dettes venant à échéance dans l'année (5,3 millions eur). Ce rapport définit le ratio de liquidité générale (utilisé dans le graphique de santé) qui s'établit à 4,51 (les actifs circulants sont 4,5 fois supérieurs aux capitaux temporaires).</t>
  </si>
  <si>
    <t>1.2. Le Compte de Résultats</t>
  </si>
  <si>
    <t>L'association a engrangé pour 23.534.094 eur de recettes au cours de l'année 2022.</t>
  </si>
  <si>
    <t>La valeur ajoutée (ou marge brute d'exploitation) qui représente le revenu créé par l'entreprise (différence entre les ventes facturées par l'entreprise et les achats d'approvisionnements et de services &amp; biens divers facturés à l'entreprise) représente 89,8 % des ventes. Ce revenu ne s'avère toutefois pas suffisant pour couvrir l'ensemble des charges d'exploitation étant donné que le résultat opérationnel est négatif. La perte d'exploitation représente 8,6 % des recettes globales soit un peu plus de 2 millions eur.</t>
  </si>
  <si>
    <t xml:space="preserve">L'EBIT (Earnings Before Interest and Taxes) rapporté à l'ensemble des avoirs mis en œuvre pour l'obtention de ce résultat (Actif Total) définit le ratio de rentabilité économique nette (utilisé dans le graphique de santé) qui s'établit à -6,1 %. Une valeur négative rend compte du fait que l'activité ne permet pas de générer suffisamment de revenus pour couvrir l'ensemble des charges. Après déduction des charges des dettes et de l'impôt sur le revenu (qui sont nuls du fait de l'absence d'emprunts et de base imposable), le bénéfice net reste au même niveau que le résultat global (-6,8 % des ventes, soit quelque 1,6 million eur). </t>
  </si>
  <si>
    <t>La part des recettes liées à diverses formes de subsidiation représente 6,9 % des facturations totales, ce qui correspond à un peu plus de 1,6 million eur. On signalera que toutes les asbl ne mentionnent pas les subventions qu'elles obtiennent dans le compte 73 "Cotisations, dons, legs et subsides", c'est pourquoi il est parfois utile de globaliser ce montant avec les recettes reprises au compte 74 "Autres produits d'exploitation" pour avoir une meilleure vision de la part des recettes provenant directement des pouvoirs publics.</t>
  </si>
  <si>
    <t>1.3. Les Autres Données</t>
  </si>
  <si>
    <t>Le nombre moyen de travailleurs occupés au sein de l'entreprise au cours de l'exercice 2022 s'élève à 310 ETP.</t>
  </si>
  <si>
    <t>Le coût moyen du personnel (rapportant les frais de personnel à l'effectif moyen) s'établit à 70.193 eur par travailleur, toutes catégories professionnelles confondues). Ce qui permet de déterminer que la masse salariale globale atteint 21,8 millions eur (70.193 x 310).</t>
  </si>
  <si>
    <t>Parallèlement au coût de l'emploi, il est important d'avoir une idée de la productivité moyenne des travailleurs qui s'obtient en divisant la valeur ajoutée (21,1 millions eur) par le nombre moyen de travailleurs (310 ETP). Ce qui donne une productivité de ± 68.000 eur,  qui s'avère inférieure à la rémunération moyenne et explique le déficit engendré. Ce déséquilibre inhabituel pourrait s'expliquer par le fait que l'indexation des rémunérations en 2022 n'a pas pu être compensée par une augmentation similaire des recettes perçues.</t>
  </si>
  <si>
    <t>Partie 2. GRAPHIQUE DE SANTE</t>
  </si>
  <si>
    <t>En utilisant les 2 principaux ratios qui sont essentiels pour établir un diagnostic financier (la liquidité et la rentabilité), il est possible d'appréhender l'état de santé d'une entreprise.</t>
  </si>
  <si>
    <t>Une association est confrontée à des risques de cessation de paiement lorsque son ratio de  liquidité est inférieur, ou tout juste égal, à 1 (en règle générale, un ratio de liquidité supérieur à 1 est caractéristique d'une relative aisance financière).</t>
  </si>
  <si>
    <t>Une activité qui ne génère pas de bénéfice n'apparaît pas faisable. Le ratio de rentabilité doit nécessairement être positif pour qu'une poursuite des activités puisse être durablement envisagée.</t>
  </si>
  <si>
    <t>En combinant ces 2 ratios, on met en évidence 4 zones qui permettent de déterminer si, à la date de clôture de l'exercice social, la situation financière de l'entreprise est saine ou si, au contraire, l'entreprise se trouve en difficultés plus ou moins importantes.</t>
  </si>
  <si>
    <t xml:space="preserve">En zone de situation saine, aucune mesure de redressement ne doit être envisagée a priori. </t>
  </si>
  <si>
    <t>En zone de difficultés passagères, la poursuite des activités requiert que des mesures de recapitalisation (augmentation de l'apport, rééchelonnement des emprunts) soient prises.</t>
  </si>
  <si>
    <t>En zone de difficultés à venir, il y a lieu de prendre des mesures de restructuration pour recouvrer un résultat positif (la bonne liquidité permettant de disposer des fonds pour mener à bien cette restructuration).</t>
  </si>
  <si>
    <t>En zone de situation grave, les mesures de redressement doivent être combinées : la restructuration de l'activité doit nécessairement précéder la recapitalisation de l'asbl.</t>
  </si>
  <si>
    <t>Le 3ème ratio le plus important de l'analyse financière est la solvabilité qui se mesure notamment à partir de la part des ressources externes (emprunts) par rapport aux ressources internes (fonds propres) dans le financement à long terme de l'association (capitaux permanents). L'état de surendettement est lié à un ratio de solvabilité supérieur à 1 (qui signifie que les dettes à long terme sont supérieures au niveau des fonds propres).</t>
  </si>
  <si>
    <t>Juridiquement, un état de faillite est caractérisé par une cessation de paiement (liquidité inférieure à 1) et un ébranlement du crédit, lequel tient compte du fait que, simultanément, l'activité ne parvient pas à générer du revenu (rentabilité négative, c'est-à-dire inférieure à 0) et en outre, l'asbl apparaît déjà surendettée (solvabilité supérieure à 1).</t>
  </si>
  <si>
    <t>Dans l'exemple, l'association se situe en zone de difficultés à venir (qui est une zone problématique du fait des risques que toute restructuration fait peser sur l'emploi). L'asbl ayant accumulé énormément de cash (22,5 millions eur au 31/12/2022), elle dispose a priori des moyens nécessaires pour mener à bien une éventuelle restructuration de ses activités (ce qui pourrait, par exemple, prendre la forme de l'ouverture de nouvelles implantations). Même si une déficience de rentabilité est préjudiciable à l'entreprise et qu'il convient d'y remédier, la situation ne s'avère pas particulièrement préoccupante à très court terme.</t>
  </si>
  <si>
    <t>Partie 3. ECHELLE DES PROBABILITES DE FAILLITE</t>
  </si>
  <si>
    <t>Une entreprise n'adopte pas de comportement de défaillance dans un futur proche (dans les 3 ans de la clôture de ses comptes) lorsque son score global est supérieur à 0,34 ; ce seuil minimisant le risque total d'erreurs (classements erronés en activité ou en cessation).</t>
  </si>
  <si>
    <t>Si le score calculé devait être élevé (2,59) le risque d'erreur serait de 92 % si l'entreprise était classée "en cessation" et serait proche de 0 % si elle était classée "en activité". Au contraire, pour un score faible (-3,62) le risque d'erreur en cas de classement "en activité" serait de 94 % alors qu'il serait proche de 0 % si l'entreprise était classée "en cessation".</t>
  </si>
  <si>
    <t>Le fait que les 5 ratios financiers (rentabilité chronique, difficultés de paiement, liquidité immédiate, valeurs produites, crédit de caisse) permettant de calculer le score global soient fournis individuellement (avec leur valeur pondérée respective : +4,32/-11,68/+3,17/-1,62/-0,84) permet de comprendre pourquoi le score se situe au niveau auquel il se trouve.</t>
  </si>
  <si>
    <t xml:space="preserve">Dans l'exemple, le score global n'est pas très élevé (0,10) ce qui indique que l'association se trouve dans une situation délicate où les risques de défaillance ne sont pas insignifiants. L'élément négatif qui a fortement fait chuter le score est la rentabilité chronique négative. Les pertes accumulées indiquent que la déficience de rentabilité n'est pas nouvelle. Elles représentent, au 31/12/2022, plus de 39 % du total du passif (soit plus de 10,3 millions eur). </t>
  </si>
  <si>
    <t>Fort heureusement, ce facteur extrêmement négatif a pu être compensé par un niveau de liquidité immédiate particulièrement élevé. En effet, les avoirs à court terme sont constitués, pour l'essentiel, par des avoirs en cash pour plus de 49 %, soit 11,8 millions eur de valeurs disponibles (sans compter les 10,7 millions eur de placements de trésorerie qui sont aussi des liquidités que l'asbl peut utiliser pour se prémunir de tout risque de faillite).</t>
  </si>
  <si>
    <t>( NB : ces commentaires peuvent être imprimés - 4 pages )</t>
  </si>
  <si>
    <t>L'impact des autres types de résultats (financier et exceptionnel) étant positif mais faible, le résultat global (ou EBIT), qui représente le résultat net de l'exercice avant la prise en compte des charges financières et fiscales, reste négatif et s'élève à 6,8 % des ventes. Le fait que l'exploitation soit déficitaire constitue un élément négatif du diagnostic, indiquant que l'activité principale de l'entreprise ne s'avèrerait pas économiquement faisable.</t>
  </si>
  <si>
    <t xml:space="preserve">L'asbl n'encourt pas de risques de faillite dans la mesure où elle n'est confrontée à aucun risque de cessation de paiement et son crédit n'est pas ébranlé : même si l'activité ne s'avère pas bénéficiaire, son taux d'endettement à long terme est nul (0 / 79,9 = 0). </t>
  </si>
  <si>
    <t>Pour une utilisation aisée de cette échelle, il a été clairement délimité 2 zones au sein desquelles les risques de faillite sont faibles (en haut de l'échelle) ou élevés (en bas de l'échelle). Ces 2 zones sont séparées par une zone-tampon dans laquelle on retrouve les associations les plus difficiles à classer, pour lesquelles les risques demeurent significatifs (il s'agit des asbl à suivre particulièrement, pour lesquelles la vigilance s'impose).</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</si>
</sst>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_)"/>
    <numFmt numFmtId="175" formatCode="dd/mm/yy_)"/>
    <numFmt numFmtId="176" formatCode="hh:mm_)"/>
    <numFmt numFmtId="177" formatCode="0.0_)"/>
    <numFmt numFmtId="178" formatCode="0.00_)"/>
    <numFmt numFmtId="179" formatCode=";;;"/>
    <numFmt numFmtId="180" formatCode="0.0000_)"/>
    <numFmt numFmtId="181" formatCode="0.000_)"/>
    <numFmt numFmtId="182" formatCode="#,##0_);\(#,##0\)"/>
    <numFmt numFmtId="183" formatCode="0.0%"/>
    <numFmt numFmtId="184" formatCode="#,##0.0_);\(#,##0.0\)"/>
    <numFmt numFmtId="185" formatCode="#,##0.0"/>
    <numFmt numFmtId="186" formatCode="0.000"/>
    <numFmt numFmtId="187" formatCode="0.0"/>
    <numFmt numFmtId="188" formatCode="#,##0.000"/>
    <numFmt numFmtId="189" formatCode="[$-80C]dddd\ d\ mmmm\ yyyy"/>
    <numFmt numFmtId="190" formatCode="d/mm/yy;@"/>
    <numFmt numFmtId="191" formatCode="0.0000"/>
    <numFmt numFmtId="192" formatCode="dd/mm;@"/>
    <numFmt numFmtId="193" formatCode="d/mm/yyyy;@"/>
    <numFmt numFmtId="194" formatCode="&quot;Vrai&quot;;&quot;Vrai&quot;;&quot;Faux&quot;"/>
    <numFmt numFmtId="195" formatCode="&quot;Actif&quot;;&quot;Actif&quot;;&quot;Inactif&quot;"/>
    <numFmt numFmtId="196" formatCode="[$€-2]\ #,##0.00_);[Red]\([$€-2]\ #,##0.00\)"/>
  </numFmts>
  <fonts count="79">
    <font>
      <sz val="12"/>
      <name val="Courier 10 Pitch"/>
      <family val="0"/>
    </font>
    <font>
      <sz val="10"/>
      <name val="Arial"/>
      <family val="0"/>
    </font>
    <font>
      <sz val="10"/>
      <name val="Courier"/>
      <family val="3"/>
    </font>
    <font>
      <b/>
      <sz val="12"/>
      <name val="Courier 10 Pitch"/>
      <family val="0"/>
    </font>
    <font>
      <b/>
      <u val="single"/>
      <sz val="12"/>
      <name val="Courier 10 Pitch"/>
      <family val="0"/>
    </font>
    <font>
      <b/>
      <i/>
      <sz val="12"/>
      <name val="Courier 10 Pitch"/>
      <family val="0"/>
    </font>
    <font>
      <sz val="12"/>
      <name val="Courier New"/>
      <family val="3"/>
    </font>
    <font>
      <sz val="12"/>
      <color indexed="12"/>
      <name val="Courier New"/>
      <family val="3"/>
    </font>
    <font>
      <u val="single"/>
      <sz val="12"/>
      <name val="Courier 10 Pitch"/>
      <family val="0"/>
    </font>
    <font>
      <b/>
      <sz val="12"/>
      <name val="Courier New"/>
      <family val="3"/>
    </font>
    <font>
      <b/>
      <u val="single"/>
      <sz val="12"/>
      <name val="Courier New"/>
      <family val="3"/>
    </font>
    <font>
      <i/>
      <sz val="12"/>
      <name val="Courier 10 Pitch"/>
      <family val="0"/>
    </font>
    <font>
      <b/>
      <i/>
      <u val="single"/>
      <sz val="12"/>
      <name val="Courier 10 Pitch"/>
      <family val="0"/>
    </font>
    <font>
      <sz val="10"/>
      <color indexed="8"/>
      <name val="Arial"/>
      <family val="2"/>
    </font>
    <font>
      <u val="single"/>
      <sz val="12"/>
      <color indexed="8"/>
      <name val="Courier 10 Pitch"/>
      <family val="0"/>
    </font>
    <font>
      <b/>
      <i/>
      <sz val="12"/>
      <color indexed="9"/>
      <name val="Courier 10 Pitch"/>
      <family val="0"/>
    </font>
    <font>
      <b/>
      <sz val="12"/>
      <color indexed="8"/>
      <name val="Courier 10 Pitch"/>
      <family val="0"/>
    </font>
    <font>
      <b/>
      <u val="single"/>
      <sz val="12"/>
      <name val="Fira Sans"/>
      <family val="2"/>
    </font>
    <font>
      <sz val="12"/>
      <name val="Fira Sans"/>
      <family val="2"/>
    </font>
    <font>
      <b/>
      <sz val="12"/>
      <name val="Fira Sans"/>
      <family val="2"/>
    </font>
    <font>
      <b/>
      <i/>
      <u val="single"/>
      <sz val="12"/>
      <name val="Fira Sans"/>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7"/>
      <name val="Courier 10 Pitch"/>
      <family val="0"/>
    </font>
    <font>
      <b/>
      <sz val="12"/>
      <name val="Calibri"/>
      <family val="2"/>
    </font>
    <font>
      <sz val="12"/>
      <color indexed="17"/>
      <name val="Courier 10 Pitch"/>
      <family val="0"/>
    </font>
    <font>
      <b/>
      <i/>
      <u val="single"/>
      <sz val="12"/>
      <color indexed="17"/>
      <name val="Courier 10 Pitch"/>
      <family val="0"/>
    </font>
    <font>
      <b/>
      <u val="single"/>
      <sz val="12"/>
      <color indexed="17"/>
      <name val="Courier 10 Pitch"/>
      <family val="0"/>
    </font>
    <font>
      <b/>
      <sz val="12"/>
      <color indexed="10"/>
      <name val="Courier 10 Pitch"/>
      <family val="0"/>
    </font>
    <font>
      <sz val="12"/>
      <color indexed="10"/>
      <name val="Courier 10 Pitch"/>
      <family val="0"/>
    </font>
    <font>
      <sz val="12"/>
      <name val="Calibri"/>
      <family val="2"/>
    </font>
    <font>
      <sz val="12"/>
      <color indexed="8"/>
      <name val="Courier 10 Pitch"/>
      <family val="0"/>
    </font>
    <font>
      <i/>
      <sz val="12"/>
      <color indexed="8"/>
      <name val="Courier 10 Pitch"/>
      <family val="0"/>
    </font>
    <font>
      <b/>
      <u val="single"/>
      <sz val="12"/>
      <color indexed="9"/>
      <name val="Courier 10 Pitch"/>
      <family val="0"/>
    </font>
    <font>
      <b/>
      <sz val="12"/>
      <color indexed="9"/>
      <name val="Courier 10 Pitch"/>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B050"/>
      <name val="Courier 10 Pitch"/>
      <family val="0"/>
    </font>
    <font>
      <b/>
      <sz val="12"/>
      <color theme="1"/>
      <name val="Courier 10 Pitch"/>
      <family val="0"/>
    </font>
    <font>
      <sz val="12"/>
      <color rgb="FF00B050"/>
      <name val="Courier 10 Pitch"/>
      <family val="0"/>
    </font>
    <font>
      <b/>
      <i/>
      <u val="single"/>
      <sz val="12"/>
      <color rgb="FF00B050"/>
      <name val="Courier 10 Pitch"/>
      <family val="0"/>
    </font>
    <font>
      <b/>
      <u val="single"/>
      <sz val="12"/>
      <color rgb="FF00B050"/>
      <name val="Courier 10 Pitch"/>
      <family val="0"/>
    </font>
    <font>
      <b/>
      <sz val="12"/>
      <color rgb="FFFF0000"/>
      <name val="Courier 10 Pitch"/>
      <family val="0"/>
    </font>
    <font>
      <sz val="12"/>
      <color rgb="FFFF0000"/>
      <name val="Courier 10 Pitch"/>
      <family val="0"/>
    </font>
    <font>
      <sz val="12"/>
      <color theme="1"/>
      <name val="Courier 10 Pitch"/>
      <family val="0"/>
    </font>
    <font>
      <b/>
      <i/>
      <sz val="12"/>
      <color theme="0"/>
      <name val="Courier 10 Pitch"/>
      <family val="0"/>
    </font>
    <font>
      <i/>
      <sz val="12"/>
      <color theme="1"/>
      <name val="Courier 10 Pitch"/>
      <family val="0"/>
    </font>
    <font>
      <b/>
      <u val="single"/>
      <sz val="12"/>
      <color theme="0"/>
      <name val="Courier 10 Pitch"/>
      <family val="0"/>
    </font>
    <font>
      <b/>
      <sz val="12"/>
      <color theme="0"/>
      <name val="Courier 10 Pitch"/>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00B05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ck">
        <color theme="1"/>
      </top>
      <bottom>
        <color indexed="63"/>
      </bottom>
    </border>
    <border>
      <left>
        <color indexed="63"/>
      </left>
      <right style="thick">
        <color theme="1"/>
      </right>
      <top style="thick">
        <color theme="1"/>
      </top>
      <bottom>
        <color indexed="63"/>
      </bottom>
    </border>
    <border>
      <left>
        <color indexed="63"/>
      </left>
      <right style="thick">
        <color theme="1"/>
      </right>
      <top>
        <color indexed="63"/>
      </top>
      <bottom>
        <color indexed="63"/>
      </bottom>
    </border>
    <border>
      <left>
        <color indexed="63"/>
      </left>
      <right>
        <color indexed="63"/>
      </right>
      <top>
        <color indexed="63"/>
      </top>
      <bottom style="thick">
        <color theme="1"/>
      </bottom>
    </border>
    <border>
      <left>
        <color indexed="63"/>
      </left>
      <right style="thick">
        <color theme="1"/>
      </right>
      <top>
        <color indexed="63"/>
      </top>
      <bottom style="thick">
        <color theme="1"/>
      </bottom>
    </border>
    <border>
      <left style="thick">
        <color theme="1"/>
      </left>
      <right>
        <color indexed="63"/>
      </right>
      <top style="thick">
        <color theme="1"/>
      </top>
      <bottom>
        <color indexed="63"/>
      </bottom>
    </border>
    <border>
      <left style="thick">
        <color theme="1"/>
      </left>
      <right>
        <color indexed="63"/>
      </right>
      <top>
        <color indexed="63"/>
      </top>
      <bottom>
        <color indexed="63"/>
      </bottom>
    </border>
    <border>
      <left style="thick">
        <color theme="1"/>
      </left>
      <right>
        <color indexed="63"/>
      </right>
      <top>
        <color indexed="63"/>
      </top>
      <bottom style="thick">
        <color theme="1"/>
      </bottom>
    </border>
    <border>
      <left>
        <color indexed="63"/>
      </left>
      <right>
        <color indexed="63"/>
      </right>
      <top style="medium"/>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17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9" borderId="0" applyNumberFormat="0" applyBorder="0" applyAlignment="0" applyProtection="0"/>
    <xf numFmtId="0" fontId="2" fillId="0" borderId="0">
      <alignment/>
      <protection/>
    </xf>
    <xf numFmtId="0" fontId="0" fillId="30" borderId="3" applyNumberFormat="0" applyFont="0" applyAlignment="0" applyProtection="0"/>
    <xf numFmtId="9" fontId="1"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13"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70">
    <xf numFmtId="174" fontId="0" fillId="0" borderId="0" xfId="0" applyAlignment="1">
      <alignment/>
    </xf>
    <xf numFmtId="174" fontId="0" fillId="0" borderId="0" xfId="0" applyNumberFormat="1" applyAlignment="1" applyProtection="1">
      <alignment/>
      <protection/>
    </xf>
    <xf numFmtId="178" fontId="0" fillId="0" borderId="0" xfId="0" applyNumberFormat="1" applyAlignment="1" applyProtection="1">
      <alignment/>
      <protection/>
    </xf>
    <xf numFmtId="182" fontId="0" fillId="0" borderId="0" xfId="0" applyNumberFormat="1" applyAlignment="1" applyProtection="1">
      <alignment/>
      <protection/>
    </xf>
    <xf numFmtId="182" fontId="0" fillId="0" borderId="0" xfId="0" applyNumberFormat="1" applyAlignment="1" applyProtection="1">
      <alignment horizontal="fill"/>
      <protection/>
    </xf>
    <xf numFmtId="182" fontId="0" fillId="0" borderId="0" xfId="0" applyNumberFormat="1" applyBorder="1" applyAlignment="1" applyProtection="1">
      <alignment/>
      <protection/>
    </xf>
    <xf numFmtId="177" fontId="0" fillId="0" borderId="0" xfId="0" applyNumberFormat="1" applyBorder="1" applyAlignment="1" applyProtection="1">
      <alignment/>
      <protection/>
    </xf>
    <xf numFmtId="178" fontId="0" fillId="0" borderId="0" xfId="0" applyNumberFormat="1" applyBorder="1" applyAlignment="1" applyProtection="1">
      <alignment/>
      <protection/>
    </xf>
    <xf numFmtId="182" fontId="0" fillId="0" borderId="10" xfId="0" applyNumberFormat="1" applyBorder="1" applyAlignment="1" applyProtection="1">
      <alignment horizontal="fill"/>
      <protection/>
    </xf>
    <xf numFmtId="182" fontId="0" fillId="0" borderId="11" xfId="0" applyNumberFormat="1" applyBorder="1" applyAlignment="1" applyProtection="1">
      <alignment horizontal="fill"/>
      <protection/>
    </xf>
    <xf numFmtId="174" fontId="0" fillId="0" borderId="0" xfId="0" applyNumberFormat="1" applyBorder="1" applyAlignment="1" applyProtection="1">
      <alignment/>
      <protection/>
    </xf>
    <xf numFmtId="174" fontId="0" fillId="0" borderId="12" xfId="0" applyNumberFormat="1" applyBorder="1" applyAlignment="1" applyProtection="1">
      <alignment/>
      <protection/>
    </xf>
    <xf numFmtId="174" fontId="0" fillId="0" borderId="0" xfId="0" applyNumberFormat="1" applyBorder="1" applyAlignment="1" applyProtection="1">
      <alignment horizontal="right"/>
      <protection/>
    </xf>
    <xf numFmtId="174" fontId="0" fillId="0" borderId="0" xfId="0" applyNumberFormat="1" applyBorder="1" applyAlignment="1" applyProtection="1">
      <alignment horizontal="fill"/>
      <protection/>
    </xf>
    <xf numFmtId="174" fontId="0" fillId="0" borderId="12" xfId="0" applyNumberFormat="1" applyBorder="1" applyAlignment="1" applyProtection="1">
      <alignment horizontal="fill"/>
      <protection/>
    </xf>
    <xf numFmtId="174" fontId="0" fillId="0" borderId="13" xfId="0" applyNumberFormat="1" applyBorder="1" applyAlignment="1" applyProtection="1">
      <alignment/>
      <protection/>
    </xf>
    <xf numFmtId="174" fontId="0" fillId="0" borderId="14" xfId="0" applyNumberFormat="1" applyBorder="1" applyAlignment="1" applyProtection="1">
      <alignment/>
      <protection/>
    </xf>
    <xf numFmtId="3" fontId="0" fillId="0" borderId="0" xfId="0" applyNumberFormat="1" applyAlignment="1" applyProtection="1">
      <alignment/>
      <protection/>
    </xf>
    <xf numFmtId="174" fontId="3" fillId="0" borderId="0" xfId="0" applyNumberFormat="1" applyFont="1" applyBorder="1" applyAlignment="1" applyProtection="1">
      <alignment/>
      <protection/>
    </xf>
    <xf numFmtId="182" fontId="0" fillId="0" borderId="0" xfId="0" applyNumberFormat="1" applyAlignment="1" applyProtection="1" quotePrefix="1">
      <alignment/>
      <protection/>
    </xf>
    <xf numFmtId="174" fontId="0" fillId="0" borderId="0" xfId="0" applyNumberFormat="1" applyAlignment="1" applyProtection="1" quotePrefix="1">
      <alignment/>
      <protection/>
    </xf>
    <xf numFmtId="174" fontId="0" fillId="0" borderId="0" xfId="0" applyAlignment="1" applyProtection="1">
      <alignment/>
      <protection/>
    </xf>
    <xf numFmtId="174" fontId="0" fillId="0" borderId="0" xfId="0" applyAlignment="1" applyProtection="1" quotePrefix="1">
      <alignment/>
      <protection/>
    </xf>
    <xf numFmtId="174" fontId="0" fillId="0" borderId="0" xfId="0" applyAlignment="1" applyProtection="1">
      <alignment horizontal="fill"/>
      <protection/>
    </xf>
    <xf numFmtId="174" fontId="0" fillId="0" borderId="0" xfId="0" applyBorder="1" applyAlignment="1" applyProtection="1">
      <alignment/>
      <protection/>
    </xf>
    <xf numFmtId="174" fontId="4" fillId="0" borderId="0" xfId="0" applyFont="1" applyBorder="1" applyAlignment="1" applyProtection="1">
      <alignment/>
      <protection/>
    </xf>
    <xf numFmtId="174" fontId="0" fillId="0" borderId="0" xfId="0" applyAlignment="1" applyProtection="1">
      <alignment horizontal="center"/>
      <protection/>
    </xf>
    <xf numFmtId="174" fontId="4" fillId="0" borderId="0" xfId="0" applyFont="1" applyAlignment="1" applyProtection="1">
      <alignment/>
      <protection/>
    </xf>
    <xf numFmtId="174" fontId="3" fillId="0" borderId="0" xfId="0" applyFont="1" applyAlignment="1" applyProtection="1">
      <alignment/>
      <protection/>
    </xf>
    <xf numFmtId="174" fontId="0" fillId="0" borderId="0" xfId="0" applyFont="1" applyAlignment="1" applyProtection="1">
      <alignment/>
      <protection/>
    </xf>
    <xf numFmtId="174" fontId="0" fillId="0" borderId="15" xfId="0" applyBorder="1" applyAlignment="1" applyProtection="1">
      <alignment/>
      <protection/>
    </xf>
    <xf numFmtId="174" fontId="0" fillId="0" borderId="16" xfId="0" applyBorder="1" applyAlignment="1" applyProtection="1">
      <alignment/>
      <protection/>
    </xf>
    <xf numFmtId="174" fontId="0" fillId="0" borderId="12" xfId="0" applyBorder="1" applyAlignment="1" applyProtection="1">
      <alignment/>
      <protection/>
    </xf>
    <xf numFmtId="174" fontId="3" fillId="0" borderId="0" xfId="0" applyFont="1" applyBorder="1" applyAlignment="1" applyProtection="1" quotePrefix="1">
      <alignment/>
      <protection/>
    </xf>
    <xf numFmtId="174" fontId="5" fillId="0" borderId="0" xfId="0" applyFont="1" applyAlignment="1" applyProtection="1">
      <alignment/>
      <protection/>
    </xf>
    <xf numFmtId="174" fontId="0" fillId="0" borderId="0" xfId="0" applyBorder="1" applyAlignment="1" applyProtection="1">
      <alignment horizontal="right"/>
      <protection/>
    </xf>
    <xf numFmtId="174" fontId="3" fillId="0" borderId="0" xfId="0" applyFont="1" applyAlignment="1" applyProtection="1" quotePrefix="1">
      <alignment/>
      <protection/>
    </xf>
    <xf numFmtId="174" fontId="0" fillId="0" borderId="17" xfId="0" applyBorder="1" applyAlignment="1" applyProtection="1">
      <alignment/>
      <protection/>
    </xf>
    <xf numFmtId="174" fontId="0" fillId="0" borderId="13" xfId="0" applyBorder="1" applyAlignment="1" applyProtection="1">
      <alignment/>
      <protection/>
    </xf>
    <xf numFmtId="174" fontId="0" fillId="0" borderId="0" xfId="0" applyFill="1" applyBorder="1" applyAlignment="1" applyProtection="1" quotePrefix="1">
      <alignment/>
      <protection/>
    </xf>
    <xf numFmtId="174" fontId="0" fillId="0" borderId="0" xfId="0" applyFont="1" applyAlignment="1" applyProtection="1" quotePrefix="1">
      <alignment/>
      <protection/>
    </xf>
    <xf numFmtId="3" fontId="0" fillId="0" borderId="0" xfId="0" applyNumberFormat="1" applyAlignment="1" applyProtection="1" quotePrefix="1">
      <alignment horizontal="fill"/>
      <protection/>
    </xf>
    <xf numFmtId="191" fontId="0" fillId="0" borderId="0" xfId="0" applyNumberFormat="1" applyAlignment="1" applyProtection="1">
      <alignment/>
      <protection/>
    </xf>
    <xf numFmtId="174" fontId="0" fillId="0" borderId="16" xfId="0" applyBorder="1" applyAlignment="1" applyProtection="1" quotePrefix="1">
      <alignment/>
      <protection/>
    </xf>
    <xf numFmtId="174" fontId="0" fillId="0" borderId="0" xfId="0" applyNumberFormat="1" applyBorder="1" applyAlignment="1" applyProtection="1" quotePrefix="1">
      <alignment/>
      <protection/>
    </xf>
    <xf numFmtId="174" fontId="0" fillId="0" borderId="18" xfId="0" applyBorder="1" applyAlignment="1" applyProtection="1">
      <alignment/>
      <protection/>
    </xf>
    <xf numFmtId="174" fontId="0" fillId="33" borderId="0" xfId="0" applyFill="1" applyBorder="1" applyAlignment="1" applyProtection="1">
      <alignment/>
      <protection/>
    </xf>
    <xf numFmtId="174" fontId="3" fillId="0" borderId="0" xfId="0" applyFont="1" applyAlignment="1" applyProtection="1">
      <alignment horizontal="center"/>
      <protection/>
    </xf>
    <xf numFmtId="174" fontId="0" fillId="0" borderId="0" xfId="0" applyAlignment="1" applyProtection="1" quotePrefix="1">
      <alignment horizontal="center"/>
      <protection/>
    </xf>
    <xf numFmtId="3" fontId="3" fillId="0" borderId="0" xfId="0" applyNumberFormat="1" applyFont="1" applyAlignment="1" applyProtection="1">
      <alignment/>
      <protection/>
    </xf>
    <xf numFmtId="3" fontId="0" fillId="0" borderId="16" xfId="0" applyNumberFormat="1" applyBorder="1" applyAlignment="1" applyProtection="1">
      <alignment/>
      <protection/>
    </xf>
    <xf numFmtId="3" fontId="0" fillId="0" borderId="0" xfId="0" applyNumberFormat="1" applyBorder="1" applyAlignment="1" applyProtection="1">
      <alignment/>
      <protection/>
    </xf>
    <xf numFmtId="3" fontId="0" fillId="0" borderId="0" xfId="0" applyNumberFormat="1" applyAlignment="1" applyProtection="1">
      <alignment horizontal="left"/>
      <protection/>
    </xf>
    <xf numFmtId="3" fontId="0" fillId="0" borderId="12" xfId="0" applyNumberFormat="1" applyBorder="1" applyAlignment="1" applyProtection="1">
      <alignment/>
      <protection/>
    </xf>
    <xf numFmtId="3" fontId="3" fillId="0" borderId="0" xfId="0" applyNumberFormat="1" applyFont="1" applyBorder="1" applyAlignment="1" applyProtection="1" quotePrefix="1">
      <alignment/>
      <protection/>
    </xf>
    <xf numFmtId="3" fontId="5" fillId="0" borderId="0" xfId="0" applyNumberFormat="1" applyFont="1" applyAlignment="1" applyProtection="1">
      <alignment/>
      <protection/>
    </xf>
    <xf numFmtId="3" fontId="0" fillId="0" borderId="0" xfId="0" applyNumberFormat="1" applyBorder="1" applyAlignment="1" applyProtection="1">
      <alignment horizontal="right"/>
      <protection/>
    </xf>
    <xf numFmtId="3" fontId="0" fillId="0" borderId="0" xfId="0" applyNumberFormat="1" applyFont="1" applyAlignment="1" applyProtection="1">
      <alignment/>
      <protection/>
    </xf>
    <xf numFmtId="174" fontId="0" fillId="0" borderId="19" xfId="0" applyBorder="1" applyAlignment="1" applyProtection="1">
      <alignment/>
      <protection/>
    </xf>
    <xf numFmtId="182" fontId="0" fillId="0" borderId="0" xfId="0" applyNumberFormat="1" applyFont="1" applyBorder="1" applyAlignment="1" applyProtection="1">
      <alignment/>
      <protection/>
    </xf>
    <xf numFmtId="182" fontId="0" fillId="0" borderId="0" xfId="0" applyNumberFormat="1" applyBorder="1" applyAlignment="1" applyProtection="1" quotePrefix="1">
      <alignment/>
      <protection/>
    </xf>
    <xf numFmtId="3" fontId="0" fillId="33" borderId="0" xfId="0" applyNumberFormat="1" applyFill="1" applyAlignment="1" applyProtection="1">
      <alignment/>
      <protection/>
    </xf>
    <xf numFmtId="174" fontId="3" fillId="0" borderId="0" xfId="0" applyFont="1" applyBorder="1" applyAlignment="1" applyProtection="1" quotePrefix="1">
      <alignment horizontal="right"/>
      <protection/>
    </xf>
    <xf numFmtId="174" fontId="0" fillId="0" borderId="0" xfId="0" applyFont="1" applyAlignment="1" applyProtection="1">
      <alignment horizontal="center"/>
      <protection/>
    </xf>
    <xf numFmtId="174" fontId="67" fillId="0" borderId="0" xfId="0" applyFont="1" applyAlignment="1" applyProtection="1" quotePrefix="1">
      <alignment horizontal="left"/>
      <protection/>
    </xf>
    <xf numFmtId="174" fontId="67" fillId="0" borderId="0" xfId="0" applyFont="1" applyAlignment="1" applyProtection="1">
      <alignment/>
      <protection/>
    </xf>
    <xf numFmtId="174" fontId="67" fillId="0" borderId="0" xfId="0" applyFont="1" applyAlignment="1" applyProtection="1">
      <alignment horizontal="center"/>
      <protection/>
    </xf>
    <xf numFmtId="174" fontId="3" fillId="0" borderId="0" xfId="0" applyFont="1" applyAlignment="1" applyProtection="1" quotePrefix="1">
      <alignment horizontal="center"/>
      <protection/>
    </xf>
    <xf numFmtId="174" fontId="0" fillId="0" borderId="20" xfId="0" applyFont="1" applyBorder="1" applyAlignment="1" applyProtection="1">
      <alignment horizontal="center"/>
      <protection/>
    </xf>
    <xf numFmtId="182" fontId="4" fillId="0" borderId="0" xfId="0" applyNumberFormat="1" applyFont="1" applyBorder="1" applyAlignment="1" applyProtection="1">
      <alignment/>
      <protection/>
    </xf>
    <xf numFmtId="174" fontId="0" fillId="0" borderId="0" xfId="0" applyAlignment="1" applyProtection="1">
      <alignment/>
      <protection/>
    </xf>
    <xf numFmtId="182" fontId="0" fillId="0" borderId="13" xfId="0" applyNumberFormat="1" applyBorder="1" applyAlignment="1" applyProtection="1">
      <alignment/>
      <protection/>
    </xf>
    <xf numFmtId="185" fontId="11" fillId="0" borderId="0" xfId="0" applyNumberFormat="1" applyFont="1" applyBorder="1" applyAlignment="1" applyProtection="1">
      <alignment/>
      <protection/>
    </xf>
    <xf numFmtId="14" fontId="0" fillId="0" borderId="0" xfId="0" applyNumberFormat="1" applyBorder="1" applyAlignment="1" applyProtection="1" quotePrefix="1">
      <alignment/>
      <protection/>
    </xf>
    <xf numFmtId="182" fontId="4" fillId="0" borderId="0" xfId="0" applyNumberFormat="1" applyFont="1" applyBorder="1" applyAlignment="1" applyProtection="1">
      <alignment/>
      <protection/>
    </xf>
    <xf numFmtId="14" fontId="11" fillId="0" borderId="0" xfId="0" applyNumberFormat="1" applyFont="1" applyBorder="1" applyAlignment="1" applyProtection="1">
      <alignment/>
      <protection/>
    </xf>
    <xf numFmtId="174" fontId="4" fillId="0" borderId="0" xfId="0" applyFont="1" applyBorder="1" applyAlignment="1" applyProtection="1">
      <alignment/>
      <protection/>
    </xf>
    <xf numFmtId="14" fontId="0" fillId="0" borderId="0" xfId="0" applyNumberFormat="1" applyBorder="1" applyAlignment="1" applyProtection="1">
      <alignment/>
      <protection/>
    </xf>
    <xf numFmtId="182" fontId="0" fillId="0" borderId="0" xfId="0" applyNumberFormat="1" applyBorder="1" applyAlignment="1" applyProtection="1">
      <alignment/>
      <protection/>
    </xf>
    <xf numFmtId="174" fontId="8" fillId="0" borderId="0" xfId="0" applyFont="1" applyBorder="1" applyAlignment="1" applyProtection="1">
      <alignment/>
      <protection/>
    </xf>
    <xf numFmtId="14" fontId="11" fillId="0" borderId="0" xfId="0" applyNumberFormat="1" applyFont="1" applyBorder="1" applyAlignment="1" applyProtection="1" quotePrefix="1">
      <alignment/>
      <protection/>
    </xf>
    <xf numFmtId="174" fontId="0" fillId="0" borderId="21" xfId="0" applyBorder="1" applyAlignment="1" applyProtection="1">
      <alignment/>
      <protection/>
    </xf>
    <xf numFmtId="174" fontId="0" fillId="0" borderId="22" xfId="0" applyBorder="1" applyAlignment="1" applyProtection="1">
      <alignment/>
      <protection/>
    </xf>
    <xf numFmtId="174" fontId="0" fillId="0" borderId="23" xfId="0" applyBorder="1" applyAlignment="1" applyProtection="1">
      <alignment/>
      <protection/>
    </xf>
    <xf numFmtId="174" fontId="0" fillId="0" borderId="24" xfId="0" applyBorder="1" applyAlignment="1" applyProtection="1">
      <alignment/>
      <protection/>
    </xf>
    <xf numFmtId="174" fontId="0" fillId="0" borderId="25" xfId="0" applyBorder="1" applyAlignment="1" applyProtection="1">
      <alignment/>
      <protection/>
    </xf>
    <xf numFmtId="182" fontId="0" fillId="0" borderId="25" xfId="0" applyNumberFormat="1" applyBorder="1" applyAlignment="1" applyProtection="1">
      <alignment/>
      <protection/>
    </xf>
    <xf numFmtId="182" fontId="12" fillId="0" borderId="25" xfId="0" applyNumberFormat="1" applyFont="1" applyBorder="1" applyAlignment="1" applyProtection="1">
      <alignment horizontal="center"/>
      <protection/>
    </xf>
    <xf numFmtId="14" fontId="0" fillId="0" borderId="25" xfId="0" applyNumberFormat="1" applyBorder="1" applyAlignment="1" applyProtection="1" quotePrefix="1">
      <alignment/>
      <protection/>
    </xf>
    <xf numFmtId="174" fontId="11" fillId="0" borderId="0" xfId="0" applyFont="1" applyBorder="1" applyAlignment="1" applyProtection="1">
      <alignment/>
      <protection/>
    </xf>
    <xf numFmtId="182" fontId="0" fillId="0" borderId="0" xfId="0" applyNumberFormat="1" applyFont="1" applyBorder="1" applyAlignment="1" applyProtection="1">
      <alignment/>
      <protection/>
    </xf>
    <xf numFmtId="14" fontId="0" fillId="0" borderId="0" xfId="0" applyNumberFormat="1" applyFont="1" applyBorder="1" applyAlignment="1" applyProtection="1">
      <alignment/>
      <protection/>
    </xf>
    <xf numFmtId="174" fontId="0" fillId="0" borderId="0" xfId="0" applyFont="1" applyBorder="1" applyAlignment="1" applyProtection="1">
      <alignment/>
      <protection/>
    </xf>
    <xf numFmtId="185" fontId="0" fillId="0" borderId="0" xfId="0" applyNumberFormat="1" applyFont="1" applyBorder="1" applyAlignment="1" applyProtection="1">
      <alignment/>
      <protection/>
    </xf>
    <xf numFmtId="174" fontId="0" fillId="0" borderId="0" xfId="0" applyFont="1" applyBorder="1" applyAlignment="1" applyProtection="1">
      <alignment/>
      <protection/>
    </xf>
    <xf numFmtId="174" fontId="0" fillId="0" borderId="0" xfId="0" applyNumberFormat="1" applyFont="1" applyBorder="1" applyAlignment="1" applyProtection="1">
      <alignment/>
      <protection/>
    </xf>
    <xf numFmtId="182" fontId="0" fillId="0" borderId="18" xfId="0" applyNumberFormat="1" applyFont="1" applyBorder="1" applyAlignment="1" applyProtection="1">
      <alignment/>
      <protection/>
    </xf>
    <xf numFmtId="174" fontId="0" fillId="0" borderId="22" xfId="0" applyFont="1" applyBorder="1" applyAlignment="1" applyProtection="1">
      <alignment/>
      <protection/>
    </xf>
    <xf numFmtId="174" fontId="11" fillId="0" borderId="19" xfId="0" applyFont="1" applyBorder="1" applyAlignment="1" applyProtection="1">
      <alignment/>
      <protection/>
    </xf>
    <xf numFmtId="174" fontId="0" fillId="0" borderId="25" xfId="0" applyFont="1" applyBorder="1" applyAlignment="1" applyProtection="1">
      <alignment/>
      <protection/>
    </xf>
    <xf numFmtId="185" fontId="0" fillId="0" borderId="18" xfId="0" applyNumberFormat="1" applyBorder="1" applyAlignment="1" applyProtection="1">
      <alignment/>
      <protection/>
    </xf>
    <xf numFmtId="174" fontId="11" fillId="0" borderId="0" xfId="0" applyFont="1" applyBorder="1" applyAlignment="1" applyProtection="1">
      <alignment horizontal="right"/>
      <protection/>
    </xf>
    <xf numFmtId="182" fontId="11" fillId="0" borderId="0" xfId="0" applyNumberFormat="1" applyFont="1" applyBorder="1" applyAlignment="1" applyProtection="1">
      <alignment horizontal="right"/>
      <protection/>
    </xf>
    <xf numFmtId="174" fontId="8" fillId="0" borderId="0" xfId="0" applyFont="1" applyFill="1" applyBorder="1" applyAlignment="1" applyProtection="1">
      <alignment/>
      <protection/>
    </xf>
    <xf numFmtId="174" fontId="9" fillId="34" borderId="0" xfId="0" applyFont="1" applyFill="1" applyBorder="1" applyAlignment="1" applyProtection="1">
      <alignment horizontal="left"/>
      <protection/>
    </xf>
    <xf numFmtId="174" fontId="7" fillId="33" borderId="0" xfId="0" applyFont="1" applyFill="1" applyBorder="1" applyAlignment="1" applyProtection="1">
      <alignment/>
      <protection/>
    </xf>
    <xf numFmtId="174" fontId="9" fillId="33" borderId="0" xfId="0" applyFont="1" applyFill="1" applyBorder="1" applyAlignment="1" applyProtection="1" quotePrefix="1">
      <alignment/>
      <protection/>
    </xf>
    <xf numFmtId="174" fontId="9" fillId="33" borderId="0" xfId="0" applyFont="1" applyFill="1" applyBorder="1" applyAlignment="1" applyProtection="1">
      <alignment/>
      <protection/>
    </xf>
    <xf numFmtId="174" fontId="6" fillId="33" borderId="0" xfId="0" applyFont="1" applyFill="1" applyBorder="1" applyAlignment="1" applyProtection="1" quotePrefix="1">
      <alignment/>
      <protection/>
    </xf>
    <xf numFmtId="174" fontId="6" fillId="33" borderId="0" xfId="0" applyFont="1" applyFill="1" applyBorder="1" applyAlignment="1" applyProtection="1" quotePrefix="1">
      <alignment horizontal="fill"/>
      <protection/>
    </xf>
    <xf numFmtId="174" fontId="6" fillId="33" borderId="0" xfId="0" applyFont="1" applyFill="1" applyBorder="1" applyAlignment="1" applyProtection="1">
      <alignment/>
      <protection/>
    </xf>
    <xf numFmtId="174" fontId="39" fillId="33" borderId="0" xfId="0" applyFont="1" applyFill="1" applyBorder="1" applyAlignment="1" applyProtection="1">
      <alignment/>
      <protection/>
    </xf>
    <xf numFmtId="1" fontId="0" fillId="33" borderId="0" xfId="0" applyNumberFormat="1" applyFill="1" applyBorder="1" applyAlignment="1" applyProtection="1" quotePrefix="1">
      <alignment/>
      <protection/>
    </xf>
    <xf numFmtId="174" fontId="10" fillId="34" borderId="0" xfId="0" applyFont="1" applyFill="1" applyBorder="1" applyAlignment="1" applyProtection="1">
      <alignment horizontal="right"/>
      <protection/>
    </xf>
    <xf numFmtId="1" fontId="10" fillId="34" borderId="0" xfId="0" applyNumberFormat="1" applyFont="1" applyFill="1" applyBorder="1" applyAlignment="1" applyProtection="1">
      <alignment horizontal="right"/>
      <protection/>
    </xf>
    <xf numFmtId="174" fontId="3" fillId="33" borderId="0" xfId="0" applyFont="1" applyFill="1" applyBorder="1" applyAlignment="1" applyProtection="1">
      <alignment/>
      <protection/>
    </xf>
    <xf numFmtId="174" fontId="3" fillId="33" borderId="0" xfId="0" applyFont="1" applyFill="1" applyBorder="1" applyAlignment="1" applyProtection="1">
      <alignment horizontal="fill"/>
      <protection/>
    </xf>
    <xf numFmtId="174" fontId="3" fillId="33" borderId="0" xfId="0" applyFont="1" applyFill="1" applyBorder="1" applyAlignment="1" applyProtection="1" quotePrefix="1">
      <alignment horizontal="fill"/>
      <protection/>
    </xf>
    <xf numFmtId="174" fontId="6" fillId="33" borderId="0" xfId="0" applyFont="1" applyFill="1" applyBorder="1" applyAlignment="1" applyProtection="1">
      <alignment horizontal="left"/>
      <protection/>
    </xf>
    <xf numFmtId="174" fontId="10" fillId="34" borderId="0" xfId="0" applyFont="1" applyFill="1" applyBorder="1" applyAlignment="1" applyProtection="1">
      <alignment horizontal="left"/>
      <protection/>
    </xf>
    <xf numFmtId="174" fontId="6" fillId="34" borderId="0" xfId="0" applyFont="1" applyFill="1" applyBorder="1" applyAlignment="1" applyProtection="1">
      <alignment horizontal="left"/>
      <protection/>
    </xf>
    <xf numFmtId="174" fontId="0" fillId="33" borderId="0" xfId="0" applyFont="1" applyFill="1" applyBorder="1" applyAlignment="1" applyProtection="1">
      <alignment/>
      <protection/>
    </xf>
    <xf numFmtId="49" fontId="6" fillId="34" borderId="0" xfId="0" applyNumberFormat="1" applyFont="1" applyFill="1" applyBorder="1" applyAlignment="1" applyProtection="1">
      <alignment horizontal="left"/>
      <protection/>
    </xf>
    <xf numFmtId="174" fontId="4" fillId="33" borderId="0" xfId="0" applyFont="1" applyFill="1" applyBorder="1" applyAlignment="1" applyProtection="1">
      <alignment/>
      <protection/>
    </xf>
    <xf numFmtId="174" fontId="8" fillId="33" borderId="0" xfId="0" applyFont="1" applyFill="1" applyBorder="1" applyAlignment="1" applyProtection="1">
      <alignment/>
      <protection/>
    </xf>
    <xf numFmtId="3" fontId="3" fillId="0" borderId="0" xfId="0" applyNumberFormat="1" applyFont="1" applyBorder="1" applyAlignment="1" applyProtection="1">
      <alignment/>
      <protection/>
    </xf>
    <xf numFmtId="177" fontId="0" fillId="0" borderId="25" xfId="0" applyNumberFormat="1" applyFont="1" applyBorder="1" applyAlignment="1" applyProtection="1">
      <alignment/>
      <protection/>
    </xf>
    <xf numFmtId="14" fontId="0" fillId="0" borderId="26" xfId="0" applyNumberFormat="1" applyFont="1" applyBorder="1" applyAlignment="1" applyProtection="1">
      <alignment/>
      <protection/>
    </xf>
    <xf numFmtId="14" fontId="0" fillId="0" borderId="27" xfId="0" applyNumberFormat="1" applyFont="1" applyBorder="1" applyAlignment="1" applyProtection="1">
      <alignment/>
      <protection/>
    </xf>
    <xf numFmtId="14" fontId="0" fillId="0" borderId="23" xfId="0" applyNumberFormat="1" applyFont="1" applyBorder="1" applyAlignment="1" applyProtection="1">
      <alignment/>
      <protection/>
    </xf>
    <xf numFmtId="174" fontId="0" fillId="0" borderId="28" xfId="0" applyFont="1" applyFill="1" applyBorder="1" applyAlignment="1" applyProtection="1">
      <alignment/>
      <protection/>
    </xf>
    <xf numFmtId="174" fontId="0" fillId="0" borderId="18" xfId="0" applyFont="1" applyBorder="1" applyAlignment="1" applyProtection="1">
      <alignment/>
      <protection/>
    </xf>
    <xf numFmtId="182" fontId="0" fillId="0" borderId="18" xfId="0" applyNumberFormat="1" applyFont="1" applyBorder="1" applyAlignment="1" applyProtection="1" quotePrefix="1">
      <alignment/>
      <protection/>
    </xf>
    <xf numFmtId="182" fontId="0" fillId="0" borderId="29" xfId="0" applyNumberFormat="1" applyFont="1" applyBorder="1" applyAlignment="1" applyProtection="1">
      <alignment/>
      <protection/>
    </xf>
    <xf numFmtId="182" fontId="0" fillId="0" borderId="18" xfId="0" applyNumberFormat="1" applyFont="1" applyBorder="1" applyAlignment="1" applyProtection="1">
      <alignment horizontal="right"/>
      <protection/>
    </xf>
    <xf numFmtId="3" fontId="3" fillId="33" borderId="0" xfId="0" applyNumberFormat="1" applyFont="1" applyFill="1" applyBorder="1" applyAlignment="1" applyProtection="1">
      <alignment horizontal="fill"/>
      <protection/>
    </xf>
    <xf numFmtId="3" fontId="3" fillId="33" borderId="0" xfId="0" applyNumberFormat="1" applyFont="1" applyFill="1" applyBorder="1" applyAlignment="1" applyProtection="1" quotePrefix="1">
      <alignment horizontal="fill"/>
      <protection/>
    </xf>
    <xf numFmtId="3" fontId="0" fillId="33" borderId="0" xfId="0" applyNumberFormat="1" applyFill="1" applyBorder="1" applyAlignment="1" applyProtection="1" quotePrefix="1">
      <alignment horizontal="fill"/>
      <protection/>
    </xf>
    <xf numFmtId="3" fontId="0" fillId="33" borderId="0" xfId="0" applyNumberFormat="1" applyFill="1" applyBorder="1" applyAlignment="1" applyProtection="1">
      <alignment/>
      <protection/>
    </xf>
    <xf numFmtId="185" fontId="0" fillId="33" borderId="0" xfId="0" applyNumberFormat="1" applyFill="1" applyBorder="1" applyAlignment="1" applyProtection="1" quotePrefix="1">
      <alignment horizontal="fill"/>
      <protection/>
    </xf>
    <xf numFmtId="185" fontId="0" fillId="33" borderId="0" xfId="0" applyNumberFormat="1" applyFill="1" applyBorder="1" applyAlignment="1" applyProtection="1">
      <alignment/>
      <protection/>
    </xf>
    <xf numFmtId="174" fontId="3" fillId="33" borderId="0" xfId="0" applyNumberFormat="1" applyFont="1" applyFill="1" applyBorder="1" applyAlignment="1" applyProtection="1" quotePrefix="1">
      <alignment horizontal="center"/>
      <protection/>
    </xf>
    <xf numFmtId="174" fontId="3" fillId="33" borderId="0" xfId="0" applyNumberFormat="1" applyFont="1" applyFill="1" applyBorder="1" applyAlignment="1" applyProtection="1" quotePrefix="1">
      <alignment/>
      <protection/>
    </xf>
    <xf numFmtId="3" fontId="3" fillId="0" borderId="18" xfId="0" applyNumberFormat="1" applyFont="1" applyBorder="1" applyAlignment="1" applyProtection="1">
      <alignment/>
      <protection/>
    </xf>
    <xf numFmtId="14" fontId="0" fillId="0" borderId="29" xfId="0" applyNumberFormat="1" applyFont="1" applyBorder="1" applyAlignment="1" applyProtection="1">
      <alignment/>
      <protection/>
    </xf>
    <xf numFmtId="174" fontId="68" fillId="33" borderId="0" xfId="0" applyFont="1" applyFill="1" applyBorder="1" applyAlignment="1" applyProtection="1" quotePrefix="1">
      <alignment/>
      <protection/>
    </xf>
    <xf numFmtId="174" fontId="3" fillId="0" borderId="21" xfId="0" applyFont="1" applyBorder="1" applyAlignment="1" applyProtection="1">
      <alignment/>
      <protection/>
    </xf>
    <xf numFmtId="174" fontId="3" fillId="0" borderId="19" xfId="0" applyFont="1" applyBorder="1" applyAlignment="1" applyProtection="1">
      <alignment/>
      <protection/>
    </xf>
    <xf numFmtId="182" fontId="3" fillId="0" borderId="19" xfId="0" applyNumberFormat="1" applyFont="1" applyBorder="1" applyAlignment="1" applyProtection="1">
      <alignment/>
      <protection/>
    </xf>
    <xf numFmtId="14" fontId="3" fillId="0" borderId="19" xfId="0" applyNumberFormat="1" applyFont="1" applyBorder="1" applyAlignment="1" applyProtection="1">
      <alignment/>
      <protection/>
    </xf>
    <xf numFmtId="174" fontId="3" fillId="0" borderId="19" xfId="0" applyFont="1" applyFill="1" applyBorder="1" applyAlignment="1" applyProtection="1">
      <alignment/>
      <protection/>
    </xf>
    <xf numFmtId="174" fontId="0" fillId="0" borderId="26" xfId="0" applyBorder="1" applyAlignment="1" applyProtection="1">
      <alignment/>
      <protection/>
    </xf>
    <xf numFmtId="174" fontId="0" fillId="0" borderId="27" xfId="0" applyBorder="1" applyAlignment="1" applyProtection="1">
      <alignment/>
      <protection/>
    </xf>
    <xf numFmtId="174" fontId="0" fillId="0" borderId="28" xfId="0" applyFill="1" applyBorder="1" applyAlignment="1" applyProtection="1">
      <alignment horizontal="left"/>
      <protection/>
    </xf>
    <xf numFmtId="182" fontId="0" fillId="0" borderId="18" xfId="0" applyNumberFormat="1" applyFont="1" applyBorder="1" applyAlignment="1" applyProtection="1">
      <alignment/>
      <protection/>
    </xf>
    <xf numFmtId="182" fontId="0" fillId="0" borderId="28" xfId="0" applyNumberFormat="1" applyFont="1" applyBorder="1" applyAlignment="1" applyProtection="1">
      <alignment/>
      <protection/>
    </xf>
    <xf numFmtId="4" fontId="69" fillId="0" borderId="0" xfId="0" applyNumberFormat="1" applyFont="1" applyAlignment="1" applyProtection="1" quotePrefix="1">
      <alignment/>
      <protection/>
    </xf>
    <xf numFmtId="3" fontId="0" fillId="0" borderId="0" xfId="0" applyNumberFormat="1" applyAlignment="1" applyProtection="1" quotePrefix="1">
      <alignment/>
      <protection/>
    </xf>
    <xf numFmtId="174" fontId="70" fillId="0" borderId="0" xfId="0" applyFont="1" applyAlignment="1" applyProtection="1">
      <alignment horizontal="left"/>
      <protection/>
    </xf>
    <xf numFmtId="174" fontId="3" fillId="0" borderId="0" xfId="0" applyFont="1" applyAlignment="1" applyProtection="1">
      <alignment horizontal="left"/>
      <protection/>
    </xf>
    <xf numFmtId="174" fontId="0" fillId="33" borderId="0" xfId="0" applyFill="1" applyAlignment="1" applyProtection="1">
      <alignment/>
      <protection/>
    </xf>
    <xf numFmtId="174" fontId="0" fillId="0" borderId="0" xfId="0" applyBorder="1" applyAlignment="1" applyProtection="1">
      <alignment horizontal="left"/>
      <protection/>
    </xf>
    <xf numFmtId="174" fontId="3" fillId="0" borderId="0" xfId="0" applyFont="1" applyBorder="1" applyAlignment="1" applyProtection="1">
      <alignment horizontal="left"/>
      <protection/>
    </xf>
    <xf numFmtId="174" fontId="67" fillId="0" borderId="0" xfId="0" applyFont="1" applyAlignment="1" applyProtection="1">
      <alignment horizontal="left"/>
      <protection/>
    </xf>
    <xf numFmtId="174" fontId="3" fillId="0" borderId="21" xfId="0" applyFont="1" applyBorder="1" applyAlignment="1" applyProtection="1">
      <alignment horizontal="left"/>
      <protection/>
    </xf>
    <xf numFmtId="3" fontId="0" fillId="0" borderId="23" xfId="0" applyNumberFormat="1" applyBorder="1" applyAlignment="1" applyProtection="1">
      <alignment horizontal="right"/>
      <protection/>
    </xf>
    <xf numFmtId="174" fontId="3" fillId="0" borderId="19" xfId="0" applyFont="1" applyBorder="1" applyAlignment="1" applyProtection="1">
      <alignment horizontal="left"/>
      <protection/>
    </xf>
    <xf numFmtId="3" fontId="0" fillId="0" borderId="26" xfId="0" applyNumberFormat="1" applyBorder="1" applyAlignment="1" applyProtection="1">
      <alignment horizontal="right"/>
      <protection/>
    </xf>
    <xf numFmtId="3" fontId="71" fillId="0" borderId="0" xfId="0" applyNumberFormat="1" applyFont="1" applyAlignment="1" applyProtection="1">
      <alignment horizontal="left"/>
      <protection/>
    </xf>
    <xf numFmtId="174" fontId="71" fillId="0" borderId="0" xfId="0" applyFont="1" applyAlignment="1" applyProtection="1">
      <alignment horizontal="left"/>
      <protection/>
    </xf>
    <xf numFmtId="49" fontId="72" fillId="33" borderId="0" xfId="0" applyNumberFormat="1" applyFont="1" applyFill="1" applyBorder="1" applyAlignment="1" applyProtection="1">
      <alignment/>
      <protection/>
    </xf>
    <xf numFmtId="49" fontId="73" fillId="33" borderId="0" xfId="0" applyNumberFormat="1" applyFont="1" applyFill="1" applyBorder="1" applyAlignment="1" applyProtection="1">
      <alignment/>
      <protection/>
    </xf>
    <xf numFmtId="14" fontId="73" fillId="33" borderId="0" xfId="0" applyNumberFormat="1" applyFont="1" applyFill="1" applyBorder="1" applyAlignment="1" applyProtection="1">
      <alignment/>
      <protection/>
    </xf>
    <xf numFmtId="1" fontId="72" fillId="33" borderId="0" xfId="0" applyNumberFormat="1" applyFont="1" applyFill="1" applyBorder="1" applyAlignment="1" applyProtection="1">
      <alignment/>
      <protection/>
    </xf>
    <xf numFmtId="174" fontId="3" fillId="33" borderId="0" xfId="0" applyFont="1" applyFill="1" applyAlignment="1" applyProtection="1">
      <alignment horizontal="fill"/>
      <protection/>
    </xf>
    <xf numFmtId="3" fontId="69" fillId="33" borderId="0" xfId="0" applyNumberFormat="1" applyFont="1" applyFill="1" applyBorder="1" applyAlignment="1" applyProtection="1">
      <alignment/>
      <protection/>
    </xf>
    <xf numFmtId="3" fontId="73" fillId="33" borderId="0" xfId="0" applyNumberFormat="1" applyFont="1" applyFill="1" applyBorder="1" applyAlignment="1" applyProtection="1">
      <alignment/>
      <protection/>
    </xf>
    <xf numFmtId="185" fontId="69" fillId="33" borderId="0" xfId="0" applyNumberFormat="1" applyFont="1" applyFill="1" applyBorder="1" applyAlignment="1" applyProtection="1">
      <alignment/>
      <protection/>
    </xf>
    <xf numFmtId="174" fontId="0" fillId="33" borderId="0" xfId="0" applyFill="1" applyBorder="1" applyAlignment="1" applyProtection="1">
      <alignment horizontal="fill"/>
      <protection/>
    </xf>
    <xf numFmtId="185" fontId="45" fillId="33" borderId="0" xfId="0" applyNumberFormat="1" applyFont="1" applyFill="1" applyBorder="1" applyAlignment="1" applyProtection="1">
      <alignment/>
      <protection/>
    </xf>
    <xf numFmtId="3" fontId="45" fillId="33" borderId="0" xfId="0" applyNumberFormat="1" applyFont="1" applyFill="1" applyBorder="1" applyAlignment="1" applyProtection="1">
      <alignment/>
      <protection/>
    </xf>
    <xf numFmtId="185" fontId="45" fillId="34" borderId="0" xfId="0" applyNumberFormat="1" applyFont="1" applyFill="1" applyBorder="1" applyAlignment="1" applyProtection="1">
      <alignment horizontal="right"/>
      <protection/>
    </xf>
    <xf numFmtId="3" fontId="45" fillId="34" borderId="0" xfId="0" applyNumberFormat="1" applyFont="1" applyFill="1" applyBorder="1" applyAlignment="1" applyProtection="1">
      <alignment horizontal="right"/>
      <protection/>
    </xf>
    <xf numFmtId="4" fontId="45" fillId="34" borderId="0" xfId="0" applyNumberFormat="1" applyFont="1" applyFill="1" applyBorder="1" applyAlignment="1" applyProtection="1">
      <alignment horizontal="right"/>
      <protection/>
    </xf>
    <xf numFmtId="174" fontId="3" fillId="0" borderId="24" xfId="0" applyFont="1" applyBorder="1" applyAlignment="1" applyProtection="1">
      <alignment horizontal="left"/>
      <protection/>
    </xf>
    <xf numFmtId="174" fontId="3" fillId="0" borderId="24" xfId="0" applyNumberFormat="1" applyFont="1" applyBorder="1" applyAlignment="1" applyProtection="1">
      <alignment horizontal="left"/>
      <protection/>
    </xf>
    <xf numFmtId="4" fontId="0" fillId="0" borderId="22" xfId="0" applyNumberFormat="1" applyFont="1" applyBorder="1" applyAlignment="1" applyProtection="1">
      <alignment/>
      <protection/>
    </xf>
    <xf numFmtId="4" fontId="0" fillId="0" borderId="23" xfId="0" applyNumberFormat="1" applyFont="1" applyBorder="1" applyAlignment="1" applyProtection="1">
      <alignment/>
      <protection/>
    </xf>
    <xf numFmtId="4" fontId="0" fillId="0" borderId="0" xfId="0" applyNumberFormat="1" applyFont="1" applyBorder="1" applyAlignment="1" applyProtection="1">
      <alignment/>
      <protection/>
    </xf>
    <xf numFmtId="4" fontId="0" fillId="0" borderId="26" xfId="0" applyNumberFormat="1" applyFont="1" applyBorder="1" applyAlignment="1" applyProtection="1">
      <alignment/>
      <protection/>
    </xf>
    <xf numFmtId="4" fontId="0" fillId="0" borderId="25" xfId="0" applyNumberFormat="1" applyFont="1" applyBorder="1" applyAlignment="1" applyProtection="1">
      <alignment/>
      <protection/>
    </xf>
    <xf numFmtId="4" fontId="0" fillId="0" borderId="27" xfId="0" applyNumberFormat="1" applyFont="1" applyBorder="1" applyAlignment="1" applyProtection="1" quotePrefix="1">
      <alignment/>
      <protection/>
    </xf>
    <xf numFmtId="3" fontId="3" fillId="0" borderId="20" xfId="0" applyNumberFormat="1" applyFont="1" applyBorder="1" applyAlignment="1" applyProtection="1">
      <alignment horizontal="right"/>
      <protection/>
    </xf>
    <xf numFmtId="185" fontId="68" fillId="0" borderId="18" xfId="0" applyNumberFormat="1" applyFont="1" applyBorder="1" applyAlignment="1" applyProtection="1">
      <alignment/>
      <protection/>
    </xf>
    <xf numFmtId="3" fontId="0" fillId="0" borderId="0" xfId="0" applyNumberFormat="1" applyFont="1" applyAlignment="1" applyProtection="1" quotePrefix="1">
      <alignment/>
      <protection/>
    </xf>
    <xf numFmtId="3" fontId="0" fillId="0" borderId="0" xfId="0" applyNumberFormat="1" applyBorder="1" applyAlignment="1" applyProtection="1" quotePrefix="1">
      <alignment/>
      <protection/>
    </xf>
    <xf numFmtId="185" fontId="3" fillId="0" borderId="0" xfId="0" applyNumberFormat="1" applyFont="1" applyBorder="1" applyAlignment="1" applyProtection="1">
      <alignment horizontal="center"/>
      <protection/>
    </xf>
    <xf numFmtId="4" fontId="3" fillId="0" borderId="0" xfId="0" applyNumberFormat="1" applyFont="1" applyBorder="1" applyAlignment="1" applyProtection="1">
      <alignment horizontal="center"/>
      <protection/>
    </xf>
    <xf numFmtId="185" fontId="3" fillId="0" borderId="22" xfId="0" applyNumberFormat="1" applyFont="1" applyBorder="1" applyAlignment="1" applyProtection="1">
      <alignment horizontal="center"/>
      <protection/>
    </xf>
    <xf numFmtId="4" fontId="3" fillId="0" borderId="0" xfId="0" applyNumberFormat="1" applyFont="1" applyBorder="1" applyAlignment="1" applyProtection="1" quotePrefix="1">
      <alignment horizontal="center"/>
      <protection/>
    </xf>
    <xf numFmtId="3" fontId="3" fillId="0" borderId="0" xfId="0" applyNumberFormat="1" applyFont="1" applyBorder="1" applyAlignment="1" applyProtection="1">
      <alignment horizontal="center"/>
      <protection/>
    </xf>
    <xf numFmtId="4" fontId="3" fillId="0" borderId="25" xfId="0" applyNumberFormat="1" applyFont="1" applyBorder="1" applyAlignment="1" applyProtection="1">
      <alignment horizontal="center"/>
      <protection/>
    </xf>
    <xf numFmtId="49" fontId="3" fillId="35" borderId="30" xfId="0" applyNumberFormat="1" applyFont="1" applyFill="1" applyBorder="1" applyAlignment="1" applyProtection="1">
      <alignment/>
      <protection locked="0"/>
    </xf>
    <xf numFmtId="49" fontId="0" fillId="35" borderId="31" xfId="0" applyNumberFormat="1" applyFont="1" applyFill="1" applyBorder="1" applyAlignment="1" applyProtection="1">
      <alignment/>
      <protection locked="0"/>
    </xf>
    <xf numFmtId="14" fontId="0" fillId="35" borderId="31" xfId="0" applyNumberFormat="1" applyFont="1" applyFill="1" applyBorder="1" applyAlignment="1" applyProtection="1">
      <alignment/>
      <protection locked="0"/>
    </xf>
    <xf numFmtId="49" fontId="0" fillId="35" borderId="32" xfId="0" applyNumberFormat="1" applyFont="1" applyFill="1" applyBorder="1" applyAlignment="1" applyProtection="1">
      <alignment/>
      <protection locked="0"/>
    </xf>
    <xf numFmtId="3" fontId="0" fillId="35" borderId="30" xfId="0" applyNumberFormat="1" applyFont="1" applyFill="1" applyBorder="1" applyAlignment="1" applyProtection="1">
      <alignment/>
      <protection locked="0"/>
    </xf>
    <xf numFmtId="3" fontId="0" fillId="35" borderId="31" xfId="0" applyNumberFormat="1" applyFont="1" applyFill="1" applyBorder="1" applyAlignment="1" applyProtection="1">
      <alignment/>
      <protection locked="0"/>
    </xf>
    <xf numFmtId="3" fontId="0" fillId="35" borderId="32" xfId="0" applyNumberFormat="1" applyFont="1" applyFill="1" applyBorder="1" applyAlignment="1" applyProtection="1">
      <alignment/>
      <protection locked="0"/>
    </xf>
    <xf numFmtId="3" fontId="0" fillId="35" borderId="31" xfId="0" applyNumberFormat="1" applyFill="1" applyBorder="1" applyAlignment="1" applyProtection="1">
      <alignment/>
      <protection locked="0"/>
    </xf>
    <xf numFmtId="185" fontId="0" fillId="35" borderId="31" xfId="0" applyNumberFormat="1" applyFont="1" applyFill="1" applyBorder="1" applyAlignment="1" applyProtection="1">
      <alignment/>
      <protection locked="0"/>
    </xf>
    <xf numFmtId="3" fontId="0" fillId="36" borderId="30" xfId="0" applyNumberFormat="1" applyFill="1" applyBorder="1" applyAlignment="1" applyProtection="1">
      <alignment/>
      <protection locked="0"/>
    </xf>
    <xf numFmtId="49" fontId="3" fillId="35" borderId="31" xfId="0" applyNumberFormat="1" applyFont="1" applyFill="1" applyBorder="1" applyAlignment="1" applyProtection="1">
      <alignment/>
      <protection locked="0"/>
    </xf>
    <xf numFmtId="1" fontId="3" fillId="35" borderId="31" xfId="0" applyNumberFormat="1" applyFont="1" applyFill="1" applyBorder="1" applyAlignment="1" applyProtection="1">
      <alignment/>
      <protection locked="0"/>
    </xf>
    <xf numFmtId="174" fontId="3" fillId="36" borderId="31" xfId="0" applyFont="1" applyFill="1" applyBorder="1" applyAlignment="1" applyProtection="1">
      <alignment horizontal="fill"/>
      <protection locked="0"/>
    </xf>
    <xf numFmtId="174" fontId="0" fillId="36" borderId="31" xfId="0" applyFont="1" applyFill="1" applyBorder="1" applyAlignment="1" applyProtection="1">
      <alignment/>
      <protection locked="0"/>
    </xf>
    <xf numFmtId="3" fontId="0" fillId="36" borderId="31" xfId="0" applyNumberFormat="1" applyFont="1" applyFill="1" applyBorder="1" applyAlignment="1" applyProtection="1">
      <alignment/>
      <protection locked="0"/>
    </xf>
    <xf numFmtId="174" fontId="3" fillId="36" borderId="31" xfId="0" applyFont="1" applyFill="1" applyBorder="1" applyAlignment="1" applyProtection="1">
      <alignment/>
      <protection locked="0"/>
    </xf>
    <xf numFmtId="174" fontId="0" fillId="36" borderId="32" xfId="0" applyFill="1" applyBorder="1" applyAlignment="1" applyProtection="1">
      <alignment/>
      <protection locked="0"/>
    </xf>
    <xf numFmtId="174" fontId="3" fillId="36" borderId="31" xfId="0" applyFont="1" applyFill="1" applyBorder="1" applyAlignment="1" applyProtection="1" quotePrefix="1">
      <alignment horizontal="fill"/>
      <protection locked="0"/>
    </xf>
    <xf numFmtId="174" fontId="0" fillId="36" borderId="31" xfId="0" applyFill="1" applyBorder="1" applyAlignment="1" applyProtection="1">
      <alignment/>
      <protection locked="0"/>
    </xf>
    <xf numFmtId="174" fontId="18" fillId="0" borderId="0" xfId="0" applyFont="1" applyAlignment="1">
      <alignment/>
    </xf>
    <xf numFmtId="174" fontId="17" fillId="0" borderId="30" xfId="0" applyFont="1" applyBorder="1" applyAlignment="1">
      <alignment horizontal="center" wrapText="1"/>
    </xf>
    <xf numFmtId="174" fontId="18" fillId="0" borderId="31" xfId="0" applyFont="1" applyBorder="1" applyAlignment="1">
      <alignment horizontal="right" wrapText="1"/>
    </xf>
    <xf numFmtId="174" fontId="20" fillId="0" borderId="31" xfId="0" applyFont="1" applyBorder="1" applyAlignment="1">
      <alignment wrapText="1"/>
    </xf>
    <xf numFmtId="174" fontId="19" fillId="0" borderId="31" xfId="0" applyFont="1" applyBorder="1" applyAlignment="1">
      <alignment wrapText="1"/>
    </xf>
    <xf numFmtId="174" fontId="18" fillId="0" borderId="31" xfId="0" applyFont="1" applyBorder="1" applyAlignment="1">
      <alignment wrapText="1"/>
    </xf>
    <xf numFmtId="174" fontId="18" fillId="0" borderId="32" xfId="0" applyFont="1" applyBorder="1" applyAlignment="1">
      <alignment/>
    </xf>
    <xf numFmtId="4" fontId="68" fillId="0" borderId="0" xfId="0" applyNumberFormat="1" applyFont="1" applyBorder="1" applyAlignment="1" applyProtection="1">
      <alignment horizontal="right"/>
      <protection/>
    </xf>
    <xf numFmtId="14" fontId="3" fillId="0" borderId="0" xfId="0" applyNumberFormat="1" applyFont="1" applyAlignment="1" applyProtection="1" quotePrefix="1">
      <alignment horizontal="center"/>
      <protection/>
    </xf>
    <xf numFmtId="174" fontId="5" fillId="0" borderId="0" xfId="0" applyFont="1" applyAlignment="1" applyProtection="1">
      <alignment horizontal="center"/>
      <protection/>
    </xf>
    <xf numFmtId="174" fontId="5" fillId="0" borderId="22" xfId="0" applyFont="1" applyBorder="1" applyAlignment="1">
      <alignment horizontal="center"/>
    </xf>
    <xf numFmtId="174" fontId="0" fillId="0" borderId="22" xfId="0" applyBorder="1" applyAlignment="1">
      <alignment horizontal="center"/>
    </xf>
    <xf numFmtId="174" fontId="5" fillId="0" borderId="18" xfId="0" applyFont="1" applyBorder="1" applyAlignment="1">
      <alignment horizontal="center"/>
    </xf>
    <xf numFmtId="185" fontId="74" fillId="0" borderId="25" xfId="0" applyNumberFormat="1" applyFont="1" applyBorder="1" applyAlignment="1" applyProtection="1">
      <alignment horizontal="center"/>
      <protection/>
    </xf>
    <xf numFmtId="3" fontId="0" fillId="0" borderId="0" xfId="0" applyNumberFormat="1" applyAlignment="1" applyProtection="1">
      <alignment horizontal="center"/>
      <protection/>
    </xf>
    <xf numFmtId="185" fontId="74" fillId="0" borderId="0" xfId="0" applyNumberFormat="1" applyFont="1" applyBorder="1" applyAlignment="1" applyProtection="1">
      <alignment horizontal="center"/>
      <protection/>
    </xf>
    <xf numFmtId="3" fontId="68" fillId="0" borderId="18" xfId="0" applyNumberFormat="1" applyFont="1" applyBorder="1" applyAlignment="1" applyProtection="1">
      <alignment horizontal="center"/>
      <protection/>
    </xf>
    <xf numFmtId="182" fontId="0" fillId="0" borderId="18" xfId="0" applyNumberFormat="1" applyBorder="1" applyAlignment="1" applyProtection="1">
      <alignment horizontal="left"/>
      <protection/>
    </xf>
    <xf numFmtId="182" fontId="0" fillId="0" borderId="29" xfId="0" applyNumberFormat="1" applyBorder="1" applyAlignment="1" applyProtection="1">
      <alignment horizontal="left"/>
      <protection/>
    </xf>
    <xf numFmtId="4" fontId="68" fillId="0" borderId="28" xfId="0" applyNumberFormat="1" applyFont="1" applyBorder="1" applyAlignment="1" applyProtection="1">
      <alignment horizontal="center"/>
      <protection/>
    </xf>
    <xf numFmtId="4" fontId="68" fillId="0" borderId="18" xfId="0" applyNumberFormat="1" applyFont="1" applyBorder="1" applyAlignment="1" applyProtection="1">
      <alignment horizontal="center"/>
      <protection/>
    </xf>
    <xf numFmtId="4" fontId="68" fillId="0" borderId="29" xfId="0" applyNumberFormat="1" applyFont="1" applyBorder="1" applyAlignment="1" applyProtection="1">
      <alignment horizontal="center"/>
      <protection/>
    </xf>
    <xf numFmtId="174" fontId="15" fillId="36" borderId="0" xfId="0" applyFont="1" applyFill="1" applyBorder="1" applyAlignment="1" applyProtection="1">
      <alignment horizontal="center"/>
      <protection/>
    </xf>
    <xf numFmtId="174" fontId="75" fillId="36" borderId="0" xfId="0" applyFont="1" applyFill="1" applyBorder="1" applyAlignment="1" applyProtection="1">
      <alignment horizontal="center"/>
      <protection/>
    </xf>
    <xf numFmtId="3" fontId="75" fillId="36" borderId="0" xfId="0" applyNumberFormat="1" applyFont="1" applyFill="1" applyBorder="1" applyAlignment="1" applyProtection="1">
      <alignment horizontal="center"/>
      <protection/>
    </xf>
    <xf numFmtId="185" fontId="76" fillId="0" borderId="0" xfId="0" applyNumberFormat="1" applyFont="1" applyBorder="1" applyAlignment="1" applyProtection="1">
      <alignment horizontal="center"/>
      <protection/>
    </xf>
    <xf numFmtId="174" fontId="0" fillId="0" borderId="18" xfId="0" applyBorder="1" applyAlignment="1" applyProtection="1">
      <alignment horizontal="left"/>
      <protection/>
    </xf>
    <xf numFmtId="174" fontId="0" fillId="0" borderId="29" xfId="0" applyBorder="1" applyAlignment="1" applyProtection="1">
      <alignment horizontal="left"/>
      <protection/>
    </xf>
    <xf numFmtId="3" fontId="68" fillId="0" borderId="22" xfId="0" applyNumberFormat="1" applyFont="1" applyBorder="1" applyAlignment="1" applyProtection="1">
      <alignment horizontal="center"/>
      <protection/>
    </xf>
    <xf numFmtId="174" fontId="77" fillId="37" borderId="0" xfId="0" applyFont="1" applyFill="1" applyAlignment="1" applyProtection="1">
      <alignment horizontal="center" vertical="top"/>
      <protection/>
    </xf>
    <xf numFmtId="174" fontId="78" fillId="37" borderId="0" xfId="0" applyFont="1" applyFill="1" applyAlignment="1" applyProtection="1">
      <alignment horizontal="center"/>
      <protection/>
    </xf>
    <xf numFmtId="185" fontId="68" fillId="0" borderId="18" xfId="0" applyNumberFormat="1" applyFont="1" applyBorder="1" applyAlignment="1" applyProtection="1">
      <alignment horizontal="center"/>
      <protection/>
    </xf>
    <xf numFmtId="185" fontId="68" fillId="0" borderId="28" xfId="0" applyNumberFormat="1" applyFont="1" applyBorder="1" applyAlignment="1" applyProtection="1">
      <alignment horizontal="center"/>
      <protection/>
    </xf>
    <xf numFmtId="185" fontId="68" fillId="0" borderId="29" xfId="0" applyNumberFormat="1" applyFont="1" applyBorder="1" applyAlignment="1" applyProtection="1">
      <alignment horizontal="center"/>
      <protection/>
    </xf>
    <xf numFmtId="174" fontId="0" fillId="0" borderId="22" xfId="0" applyFont="1" applyBorder="1" applyAlignment="1" applyProtection="1">
      <alignment horizontal="center"/>
      <protection/>
    </xf>
    <xf numFmtId="174" fontId="0" fillId="0" borderId="23" xfId="0" applyFont="1" applyBorder="1" applyAlignment="1" applyProtection="1">
      <alignment horizontal="center"/>
      <protection/>
    </xf>
    <xf numFmtId="185" fontId="74" fillId="0" borderId="22" xfId="0" applyNumberFormat="1" applyFont="1" applyBorder="1" applyAlignment="1" applyProtection="1">
      <alignment horizontal="center"/>
      <protection/>
    </xf>
    <xf numFmtId="4" fontId="74" fillId="0" borderId="0" xfId="0" applyNumberFormat="1" applyFont="1" applyBorder="1" applyAlignment="1" applyProtection="1" quotePrefix="1">
      <alignment horizontal="right"/>
      <protection/>
    </xf>
    <xf numFmtId="182" fontId="68" fillId="0" borderId="18" xfId="0" applyNumberFormat="1" applyFont="1" applyBorder="1" applyAlignment="1" applyProtection="1">
      <alignment horizontal="center"/>
      <protection/>
    </xf>
    <xf numFmtId="174" fontId="4" fillId="0" borderId="0" xfId="0" applyFont="1" applyAlignment="1" applyProtection="1">
      <alignment horizontal="center"/>
      <protection/>
    </xf>
    <xf numFmtId="174" fontId="3" fillId="0" borderId="0" xfId="0" applyFont="1" applyAlignment="1" applyProtection="1">
      <alignment horizontal="center"/>
      <protection/>
    </xf>
    <xf numFmtId="174" fontId="0" fillId="0" borderId="0" xfId="0" applyAlignment="1" applyProtection="1">
      <alignment horizontal="center"/>
      <protection/>
    </xf>
    <xf numFmtId="185" fontId="74" fillId="0" borderId="0" xfId="0" applyNumberFormat="1" applyFont="1" applyBorder="1" applyAlignment="1" applyProtection="1">
      <alignment horizontal="right"/>
      <protection/>
    </xf>
    <xf numFmtId="185" fontId="76" fillId="0" borderId="0" xfId="0" applyNumberFormat="1" applyFont="1" applyBorder="1" applyAlignment="1" applyProtection="1">
      <alignment horizontal="right"/>
      <protection/>
    </xf>
    <xf numFmtId="185" fontId="74" fillId="0" borderId="22" xfId="0" applyNumberFormat="1" applyFont="1" applyBorder="1" applyAlignment="1" applyProtection="1">
      <alignment horizontal="right"/>
      <protection/>
    </xf>
    <xf numFmtId="14" fontId="4" fillId="0" borderId="0" xfId="0" applyNumberFormat="1" applyFont="1" applyAlignment="1" applyProtection="1" quotePrefix="1">
      <alignment horizontal="left"/>
      <protection/>
    </xf>
    <xf numFmtId="182" fontId="4" fillId="0" borderId="10" xfId="0" applyNumberFormat="1" applyFont="1" applyBorder="1" applyAlignment="1" applyProtection="1">
      <alignment horizontal="center"/>
      <protection/>
    </xf>
    <xf numFmtId="185" fontId="11" fillId="0" borderId="0" xfId="0" applyNumberFormat="1" applyFont="1" applyBorder="1" applyAlignment="1" applyProtection="1">
      <alignment horizontal="left"/>
      <protection/>
    </xf>
    <xf numFmtId="174" fontId="18" fillId="0" borderId="31" xfId="0" applyFont="1"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n défini" xfId="49"/>
    <cellStyle name="Note" xfId="50"/>
    <cellStyle name="Percent" xfId="51"/>
    <cellStyle name="Satisfaisant" xfId="52"/>
    <cellStyle name="Sortie" xfId="53"/>
    <cellStyle name="Standaard_Blad1"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B1:CI111"/>
  <sheetViews>
    <sheetView tabSelected="1" defaultGridColor="0" colorId="22" workbookViewId="0" topLeftCell="A1">
      <selection activeCell="A1" sqref="A1"/>
    </sheetView>
  </sheetViews>
  <sheetFormatPr defaultColWidth="9.796875" defaultRowHeight="15"/>
  <cols>
    <col min="1" max="1" width="2.796875" style="21" customWidth="1"/>
    <col min="2" max="2" width="34.19921875" style="21" customWidth="1"/>
    <col min="3" max="3" width="13.09765625" style="21" customWidth="1"/>
    <col min="4" max="4" width="17.296875" style="21" customWidth="1"/>
    <col min="5" max="5" width="14.09765625" style="21" customWidth="1"/>
    <col min="6" max="6" width="3.19921875" style="21" customWidth="1"/>
    <col min="7" max="7" width="2.59765625" style="21" hidden="1" customWidth="1"/>
    <col min="8" max="8" width="30.796875" style="21" customWidth="1"/>
    <col min="9" max="9" width="13.19921875" style="21" customWidth="1"/>
    <col min="10" max="10" width="19.796875" style="21" customWidth="1"/>
    <col min="11" max="11" width="15.296875" style="21" customWidth="1"/>
    <col min="12" max="12" width="3" style="21" customWidth="1"/>
    <col min="13" max="62" width="2.796875" style="21" customWidth="1"/>
    <col min="63" max="63" width="12.09765625" style="21" customWidth="1"/>
    <col min="64" max="64" width="4.796875" style="21" customWidth="1"/>
    <col min="65" max="65" width="2.59765625" style="21" customWidth="1"/>
    <col min="66" max="68" width="2.796875" style="21" customWidth="1"/>
    <col min="69" max="69" width="2.5" style="21" customWidth="1"/>
    <col min="70" max="70" width="4.796875" style="21" customWidth="1"/>
    <col min="71" max="71" width="1.796875" style="21" customWidth="1"/>
    <col min="72" max="72" width="8.796875" style="21" customWidth="1"/>
    <col min="73" max="73" width="4.796875" style="21" customWidth="1"/>
    <col min="74" max="74" width="2.3984375" style="21" customWidth="1"/>
    <col min="75" max="93" width="9.796875" style="21" customWidth="1"/>
    <col min="94" max="16384" width="9.796875" style="21" customWidth="1"/>
  </cols>
  <sheetData>
    <row r="1" ht="19.5" customHeight="1">
      <c r="G1" s="160"/>
    </row>
    <row r="2" spans="2:12" ht="19.5" customHeight="1">
      <c r="B2" s="250" t="s">
        <v>126</v>
      </c>
      <c r="C2" s="250"/>
      <c r="D2" s="243" t="s">
        <v>240</v>
      </c>
      <c r="E2" s="243"/>
      <c r="F2" s="243"/>
      <c r="G2" s="243"/>
      <c r="H2" s="243"/>
      <c r="I2" s="243"/>
      <c r="J2" s="243"/>
      <c r="K2" s="243"/>
      <c r="L2" s="22" t="s">
        <v>79</v>
      </c>
    </row>
    <row r="3" spans="2:12" ht="19.5" customHeight="1">
      <c r="B3" s="250" t="s">
        <v>224</v>
      </c>
      <c r="C3" s="250"/>
      <c r="D3" s="244" t="s">
        <v>234</v>
      </c>
      <c r="E3" s="244"/>
      <c r="F3" s="244"/>
      <c r="G3" s="244"/>
      <c r="H3" s="244"/>
      <c r="I3" s="244"/>
      <c r="J3" s="244"/>
      <c r="K3" s="244"/>
      <c r="L3" s="22" t="s">
        <v>79</v>
      </c>
    </row>
    <row r="4" spans="2:12" ht="19.5" customHeight="1" thickBot="1">
      <c r="B4" s="250" t="s">
        <v>223</v>
      </c>
      <c r="C4" s="250"/>
      <c r="D4" s="244" t="s">
        <v>241</v>
      </c>
      <c r="E4" s="244"/>
      <c r="F4" s="244"/>
      <c r="G4" s="244"/>
      <c r="H4" s="244"/>
      <c r="I4" s="244"/>
      <c r="J4" s="244"/>
      <c r="K4" s="244"/>
      <c r="L4" s="22" t="s">
        <v>79</v>
      </c>
    </row>
    <row r="5" spans="2:74" s="17" customFormat="1" ht="19.5" customHeight="1" thickTop="1">
      <c r="B5" s="251" t="s">
        <v>267</v>
      </c>
      <c r="C5" s="251"/>
      <c r="D5" s="245" t="s">
        <v>222</v>
      </c>
      <c r="E5" s="245"/>
      <c r="F5" s="245"/>
      <c r="G5" s="245"/>
      <c r="H5" s="245"/>
      <c r="I5" s="245"/>
      <c r="J5" s="245"/>
      <c r="K5" s="245"/>
      <c r="L5" s="22" t="s">
        <v>79</v>
      </c>
      <c r="M5" s="21"/>
      <c r="N5" s="21"/>
      <c r="O5" s="21"/>
      <c r="P5" s="260" t="s">
        <v>189</v>
      </c>
      <c r="Q5" s="260"/>
      <c r="R5" s="260"/>
      <c r="S5" s="260"/>
      <c r="T5" s="260"/>
      <c r="U5" s="260"/>
      <c r="V5" s="260"/>
      <c r="W5" s="260"/>
      <c r="X5" s="260"/>
      <c r="Y5" s="260"/>
      <c r="Z5" s="260"/>
      <c r="AA5" s="260"/>
      <c r="AB5" s="260"/>
      <c r="AC5" s="260"/>
      <c r="AD5" s="260"/>
      <c r="AE5" s="260"/>
      <c r="AF5" s="260"/>
      <c r="AG5" s="260"/>
      <c r="AH5" s="260"/>
      <c r="AI5" s="260"/>
      <c r="AJ5" s="260"/>
      <c r="AK5" s="260"/>
      <c r="AL5" s="260"/>
      <c r="AM5" s="261" t="str">
        <f>+$E$8&amp;+" "&amp;+$E$9</f>
        <v>L'ESPERANDERIE ASBL</v>
      </c>
      <c r="AN5" s="261"/>
      <c r="AO5" s="261"/>
      <c r="AP5" s="261"/>
      <c r="AQ5" s="261"/>
      <c r="AR5" s="261"/>
      <c r="AS5" s="261"/>
      <c r="AT5" s="261"/>
      <c r="AU5" s="261"/>
      <c r="AV5" s="261"/>
      <c r="AW5" s="261"/>
      <c r="AX5" s="261"/>
      <c r="AY5" s="261"/>
      <c r="AZ5" s="261"/>
      <c r="BA5" s="261"/>
      <c r="BB5" s="230" t="str">
        <f>+"("&amp;+$K$8&amp;+")"</f>
        <v>(Bon-Secours)</v>
      </c>
      <c r="BC5" s="230"/>
      <c r="BD5" s="230"/>
      <c r="BE5" s="230"/>
      <c r="BF5" s="230"/>
      <c r="BG5" s="21"/>
      <c r="BH5" s="21"/>
      <c r="BI5" s="30"/>
      <c r="BJ5" s="8"/>
      <c r="BK5" s="267" t="str">
        <f>+B3&amp;+" "&amp;+B5</f>
        <v>OUTIL-SANTE SIMPLIFIE [ Version 2023 - 2 ]</v>
      </c>
      <c r="BL5" s="267"/>
      <c r="BM5" s="267"/>
      <c r="BN5" s="267"/>
      <c r="BO5" s="267"/>
      <c r="BP5" s="267"/>
      <c r="BQ5" s="267"/>
      <c r="BR5" s="267"/>
      <c r="BS5" s="267"/>
      <c r="BT5" s="267"/>
      <c r="BU5" s="9"/>
      <c r="BV5" s="4"/>
    </row>
    <row r="6" spans="2:74" s="17" customFormat="1" ht="19.5" customHeight="1" thickBot="1">
      <c r="B6" s="64" t="s">
        <v>235</v>
      </c>
      <c r="E6" s="61"/>
      <c r="G6" s="61"/>
      <c r="H6" s="61"/>
      <c r="K6" s="61"/>
      <c r="L6" s="22" t="s">
        <v>79</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1"/>
      <c r="AW6" s="21"/>
      <c r="AX6" s="21"/>
      <c r="AY6" s="21"/>
      <c r="AZ6" s="21"/>
      <c r="BA6" s="21"/>
      <c r="BB6" s="21"/>
      <c r="BC6" s="21"/>
      <c r="BD6" s="21"/>
      <c r="BE6" s="21"/>
      <c r="BF6" s="21"/>
      <c r="BG6" s="21"/>
      <c r="BH6" s="21"/>
      <c r="BI6" s="31"/>
      <c r="BJ6" s="21"/>
      <c r="BK6" s="24"/>
      <c r="BL6" s="10"/>
      <c r="BM6" s="10"/>
      <c r="BN6" s="24"/>
      <c r="BO6" s="24"/>
      <c r="BP6" s="24"/>
      <c r="BQ6" s="10"/>
      <c r="BR6" s="10"/>
      <c r="BS6" s="24"/>
      <c r="BT6" s="24"/>
      <c r="BU6" s="32"/>
      <c r="BV6" s="21"/>
    </row>
    <row r="7" spans="2:74" s="17" customFormat="1" ht="19.5" customHeight="1" thickBot="1">
      <c r="B7" s="168" t="s">
        <v>205</v>
      </c>
      <c r="C7" s="66" t="s">
        <v>206</v>
      </c>
      <c r="D7" s="65" t="s">
        <v>211</v>
      </c>
      <c r="E7" s="211"/>
      <c r="F7" s="157" t="s">
        <v>79</v>
      </c>
      <c r="H7" s="168" t="s">
        <v>205</v>
      </c>
      <c r="I7" s="66" t="s">
        <v>206</v>
      </c>
      <c r="J7" s="65" t="s">
        <v>211</v>
      </c>
      <c r="K7" s="211"/>
      <c r="L7" s="22" t="s">
        <v>79</v>
      </c>
      <c r="M7" s="21"/>
      <c r="N7" s="21"/>
      <c r="O7" s="262" t="s">
        <v>242</v>
      </c>
      <c r="P7" s="262"/>
      <c r="Q7" s="262"/>
      <c r="R7" s="262"/>
      <c r="S7" s="262"/>
      <c r="T7" s="262"/>
      <c r="U7" s="262"/>
      <c r="V7" s="262"/>
      <c r="W7" s="262"/>
      <c r="X7" s="262"/>
      <c r="Y7" s="262"/>
      <c r="Z7" s="262"/>
      <c r="AA7" s="262"/>
      <c r="AB7" s="262"/>
      <c r="AC7" s="262"/>
      <c r="AD7" s="262"/>
      <c r="AE7" s="262"/>
      <c r="AF7" s="262"/>
      <c r="AG7" s="262"/>
      <c r="AH7" s="262"/>
      <c r="AI7" s="262"/>
      <c r="AJ7" s="262"/>
      <c r="AK7" s="262"/>
      <c r="AL7" s="262"/>
      <c r="AM7" s="235" t="str">
        <f>+"("&amp;+K9&amp;+")"</f>
        <v>(BE 0402.481.407)</v>
      </c>
      <c r="AN7" s="235"/>
      <c r="AO7" s="235"/>
      <c r="AP7" s="235"/>
      <c r="AQ7" s="235"/>
      <c r="AR7" s="235"/>
      <c r="AS7" s="229" t="s">
        <v>204</v>
      </c>
      <c r="AT7" s="229"/>
      <c r="AU7" s="229"/>
      <c r="AV7" s="229"/>
      <c r="AW7" s="229"/>
      <c r="AX7" s="266">
        <f>+E10</f>
        <v>44926</v>
      </c>
      <c r="AY7" s="266"/>
      <c r="AZ7" s="266"/>
      <c r="BA7" s="266"/>
      <c r="BB7" s="268" t="str">
        <f>"( "&amp;+FIXED(I45,1,TRUE)&amp;+" mois )"</f>
        <v>( 12,0 mois )</v>
      </c>
      <c r="BC7" s="268"/>
      <c r="BD7" s="268"/>
      <c r="BE7" s="268"/>
      <c r="BF7" s="21"/>
      <c r="BG7" s="21"/>
      <c r="BH7" s="21"/>
      <c r="BI7" s="31"/>
      <c r="BJ7" s="5" t="s">
        <v>123</v>
      </c>
      <c r="BK7" s="24"/>
      <c r="BL7" s="10"/>
      <c r="BM7" s="10"/>
      <c r="BN7" s="24"/>
      <c r="BO7" s="24"/>
      <c r="BP7" s="24"/>
      <c r="BQ7" s="10"/>
      <c r="BR7" s="18" t="s">
        <v>200</v>
      </c>
      <c r="BS7" s="24"/>
      <c r="BT7" s="24"/>
      <c r="BU7" s="32"/>
      <c r="BV7" s="3"/>
    </row>
    <row r="8" spans="2:73" s="17" customFormat="1" ht="19.5" customHeight="1">
      <c r="B8" s="28" t="s">
        <v>249</v>
      </c>
      <c r="C8" s="27"/>
      <c r="D8" s="25"/>
      <c r="E8" s="202" t="s">
        <v>243</v>
      </c>
      <c r="F8" s="157" t="s">
        <v>79</v>
      </c>
      <c r="G8" s="170"/>
      <c r="H8" s="145" t="s">
        <v>225</v>
      </c>
      <c r="I8" s="63"/>
      <c r="K8" s="212" t="s">
        <v>245</v>
      </c>
      <c r="L8" s="157" t="s">
        <v>79</v>
      </c>
      <c r="BI8" s="50"/>
      <c r="BJ8" s="51"/>
      <c r="BK8" s="51"/>
      <c r="BL8" s="51"/>
      <c r="BM8" s="51"/>
      <c r="BN8" s="51"/>
      <c r="BO8" s="51"/>
      <c r="BP8" s="51"/>
      <c r="BQ8" s="51"/>
      <c r="BS8" s="51"/>
      <c r="BT8" s="52"/>
      <c r="BU8" s="53"/>
    </row>
    <row r="9" spans="2:74" s="57" customFormat="1" ht="19.5" customHeight="1">
      <c r="B9" s="28" t="s">
        <v>250</v>
      </c>
      <c r="C9" s="21"/>
      <c r="D9" s="21"/>
      <c r="E9" s="203" t="s">
        <v>244</v>
      </c>
      <c r="F9" s="194" t="s">
        <v>79</v>
      </c>
      <c r="G9" s="171"/>
      <c r="H9" s="145" t="s">
        <v>196</v>
      </c>
      <c r="I9" s="48"/>
      <c r="J9" s="17"/>
      <c r="K9" s="203" t="s">
        <v>246</v>
      </c>
      <c r="L9" s="157" t="s">
        <v>79</v>
      </c>
      <c r="M9" s="17"/>
      <c r="N9" s="17"/>
      <c r="O9" s="17"/>
      <c r="P9" s="17"/>
      <c r="Q9" s="17"/>
      <c r="R9" s="17"/>
      <c r="S9" s="17"/>
      <c r="T9" s="17"/>
      <c r="U9" s="17"/>
      <c r="V9" s="55" t="s">
        <v>13</v>
      </c>
      <c r="W9" s="17"/>
      <c r="X9" s="17"/>
      <c r="Y9" s="17"/>
      <c r="Z9" s="17"/>
      <c r="AA9" s="17"/>
      <c r="AB9" s="17"/>
      <c r="AC9" s="17"/>
      <c r="AD9" s="17"/>
      <c r="AE9" s="17"/>
      <c r="AF9" s="17"/>
      <c r="AG9" s="17"/>
      <c r="AH9" s="17"/>
      <c r="AI9" s="17"/>
      <c r="AJ9" s="17"/>
      <c r="AK9" s="17"/>
      <c r="AL9" s="17"/>
      <c r="AM9" s="17"/>
      <c r="AN9" s="17"/>
      <c r="AO9" s="17"/>
      <c r="AP9" s="17"/>
      <c r="AQ9" s="17"/>
      <c r="AR9" s="17"/>
      <c r="AS9" s="55" t="s">
        <v>14</v>
      </c>
      <c r="AT9" s="17"/>
      <c r="AU9" s="17"/>
      <c r="AV9" s="17"/>
      <c r="AW9" s="17"/>
      <c r="AX9" s="17"/>
      <c r="AY9" s="17"/>
      <c r="AZ9" s="17"/>
      <c r="BA9" s="17"/>
      <c r="BB9" s="17"/>
      <c r="BC9" s="17"/>
      <c r="BD9" s="17"/>
      <c r="BE9" s="17"/>
      <c r="BF9" s="17"/>
      <c r="BG9" s="17"/>
      <c r="BH9" s="17"/>
      <c r="BI9" s="50"/>
      <c r="BJ9" s="51" t="s">
        <v>5</v>
      </c>
      <c r="BK9" s="51"/>
      <c r="BL9" s="51"/>
      <c r="BM9" s="51"/>
      <c r="BN9" s="54" t="s">
        <v>86</v>
      </c>
      <c r="BO9" s="54" t="str">
        <f aca="true" t="shared" si="0" ref="BO9:BO43">IF(BO50=0,"----",$I$46)</f>
        <v>----</v>
      </c>
      <c r="BP9" s="54" t="s">
        <v>86</v>
      </c>
      <c r="BQ9" s="51"/>
      <c r="BR9" s="51"/>
      <c r="BS9" s="51"/>
      <c r="BT9" s="51"/>
      <c r="BU9" s="53"/>
      <c r="BV9" s="17"/>
    </row>
    <row r="10" spans="2:73" s="17" customFormat="1" ht="19.5" customHeight="1">
      <c r="B10" s="49" t="s">
        <v>236</v>
      </c>
      <c r="E10" s="204">
        <v>44926</v>
      </c>
      <c r="F10" s="157" t="s">
        <v>79</v>
      </c>
      <c r="G10" s="172"/>
      <c r="H10" s="125" t="s">
        <v>237</v>
      </c>
      <c r="I10" s="62"/>
      <c r="J10" s="57"/>
      <c r="K10" s="204">
        <v>44561</v>
      </c>
      <c r="L10" s="195" t="s">
        <v>79</v>
      </c>
      <c r="O10" s="17" t="s">
        <v>87</v>
      </c>
      <c r="Q10" s="49" t="str">
        <f aca="true" t="shared" si="1" ref="Q10:BE10">+Q50</f>
        <v>--</v>
      </c>
      <c r="R10" s="49" t="str">
        <f t="shared" si="1"/>
        <v>--</v>
      </c>
      <c r="S10" s="49" t="str">
        <f t="shared" si="1"/>
        <v>--</v>
      </c>
      <c r="T10" s="49" t="str">
        <f t="shared" si="1"/>
        <v>--</v>
      </c>
      <c r="U10" s="49" t="str">
        <f t="shared" si="1"/>
        <v>--</v>
      </c>
      <c r="V10" s="49" t="str">
        <f t="shared" si="1"/>
        <v>--</v>
      </c>
      <c r="W10" s="49" t="str">
        <f t="shared" si="1"/>
        <v>--</v>
      </c>
      <c r="X10" s="49" t="str">
        <f t="shared" si="1"/>
        <v>--</v>
      </c>
      <c r="Y10" s="49" t="str">
        <f t="shared" si="1"/>
        <v>--</v>
      </c>
      <c r="Z10" s="49" t="str">
        <f t="shared" si="1"/>
        <v>--</v>
      </c>
      <c r="AA10" s="49" t="str">
        <f t="shared" si="1"/>
        <v>--</v>
      </c>
      <c r="AB10" s="49" t="str">
        <f t="shared" si="1"/>
        <v>--</v>
      </c>
      <c r="AC10" s="49" t="str">
        <f t="shared" si="1"/>
        <v>--</v>
      </c>
      <c r="AD10" s="49" t="str">
        <f t="shared" si="1"/>
        <v>--</v>
      </c>
      <c r="AE10" s="49" t="str">
        <f t="shared" si="1"/>
        <v>22</v>
      </c>
      <c r="AF10" s="49" t="str">
        <f t="shared" si="1"/>
        <v>--</v>
      </c>
      <c r="AG10" s="49" t="str">
        <f t="shared" si="1"/>
        <v>--</v>
      </c>
      <c r="AH10" s="49" t="str">
        <f t="shared" si="1"/>
        <v>--</v>
      </c>
      <c r="AI10" s="49" t="str">
        <f t="shared" si="1"/>
        <v>--</v>
      </c>
      <c r="AJ10" s="49" t="str">
        <f t="shared" si="1"/>
        <v>--</v>
      </c>
      <c r="AK10" s="49" t="str">
        <f t="shared" si="1"/>
        <v>--</v>
      </c>
      <c r="AL10" s="49" t="str">
        <f t="shared" si="1"/>
        <v>--</v>
      </c>
      <c r="AM10" s="49" t="str">
        <f t="shared" si="1"/>
        <v>--</v>
      </c>
      <c r="AN10" s="49" t="str">
        <f t="shared" si="1"/>
        <v>--</v>
      </c>
      <c r="AO10" s="49" t="str">
        <f t="shared" si="1"/>
        <v>--</v>
      </c>
      <c r="AP10" s="49" t="str">
        <f t="shared" si="1"/>
        <v>--</v>
      </c>
      <c r="AQ10" s="49" t="str">
        <f t="shared" si="1"/>
        <v>--</v>
      </c>
      <c r="AR10" s="49" t="str">
        <f t="shared" si="1"/>
        <v>--</v>
      </c>
      <c r="AS10" s="49" t="str">
        <f t="shared" si="1"/>
        <v>--</v>
      </c>
      <c r="AT10" s="49" t="str">
        <f t="shared" si="1"/>
        <v>--</v>
      </c>
      <c r="AU10" s="49" t="str">
        <f t="shared" si="1"/>
        <v>--</v>
      </c>
      <c r="AV10" s="49" t="str">
        <f t="shared" si="1"/>
        <v>--</v>
      </c>
      <c r="AW10" s="49" t="str">
        <f t="shared" si="1"/>
        <v>--</v>
      </c>
      <c r="AX10" s="49" t="str">
        <f t="shared" si="1"/>
        <v>--</v>
      </c>
      <c r="AY10" s="49" t="str">
        <f t="shared" si="1"/>
        <v>--</v>
      </c>
      <c r="AZ10" s="49" t="str">
        <f t="shared" si="1"/>
        <v>--</v>
      </c>
      <c r="BA10" s="49" t="str">
        <f t="shared" si="1"/>
        <v>--</v>
      </c>
      <c r="BB10" s="49" t="str">
        <f t="shared" si="1"/>
        <v>--</v>
      </c>
      <c r="BC10" s="49" t="str">
        <f t="shared" si="1"/>
        <v>--</v>
      </c>
      <c r="BD10" s="49" t="str">
        <f t="shared" si="1"/>
        <v>--</v>
      </c>
      <c r="BE10" s="49" t="str">
        <f t="shared" si="1"/>
        <v>--</v>
      </c>
      <c r="BI10" s="50"/>
      <c r="BJ10" s="51"/>
      <c r="BK10" s="51"/>
      <c r="BL10" s="56" t="s">
        <v>6</v>
      </c>
      <c r="BM10" s="51"/>
      <c r="BN10" s="54" t="s">
        <v>86</v>
      </c>
      <c r="BO10" s="54" t="str">
        <f t="shared" si="0"/>
        <v>----</v>
      </c>
      <c r="BP10" s="54" t="s">
        <v>86</v>
      </c>
      <c r="BQ10" s="51"/>
      <c r="BR10" s="51"/>
      <c r="BS10" s="51" t="s">
        <v>7</v>
      </c>
      <c r="BT10" s="51"/>
      <c r="BU10" s="53"/>
    </row>
    <row r="11" spans="2:73" s="17" customFormat="1" ht="19.5" customHeight="1" thickBot="1">
      <c r="B11" s="28" t="s">
        <v>209</v>
      </c>
      <c r="C11" s="21"/>
      <c r="D11" s="21"/>
      <c r="E11" s="205" t="s">
        <v>73</v>
      </c>
      <c r="F11" s="157" t="s">
        <v>79</v>
      </c>
      <c r="G11" s="173"/>
      <c r="H11" s="145" t="s">
        <v>238</v>
      </c>
      <c r="I11" s="62"/>
      <c r="K11" s="213">
        <v>2022</v>
      </c>
      <c r="L11" s="157" t="s">
        <v>79</v>
      </c>
      <c r="Q11" s="49" t="str">
        <f aca="true" t="shared" si="2" ref="Q11:BE11">+Q51</f>
        <v>  |</v>
      </c>
      <c r="R11" s="49">
        <f t="shared" si="2"/>
      </c>
      <c r="S11" s="49">
        <f t="shared" si="2"/>
      </c>
      <c r="T11" s="49">
        <f t="shared" si="2"/>
      </c>
      <c r="U11" s="49">
        <f t="shared" si="2"/>
      </c>
      <c r="V11" s="49">
        <f t="shared" si="2"/>
      </c>
      <c r="W11" s="49">
        <f t="shared" si="2"/>
      </c>
      <c r="X11" s="49">
        <f t="shared" si="2"/>
      </c>
      <c r="Y11" s="49">
        <f t="shared" si="2"/>
      </c>
      <c r="Z11" s="49">
        <f t="shared" si="2"/>
      </c>
      <c r="AA11" s="49">
        <f t="shared" si="2"/>
      </c>
      <c r="AB11" s="49">
        <f t="shared" si="2"/>
      </c>
      <c r="AC11" s="49">
        <f t="shared" si="2"/>
      </c>
      <c r="AD11" s="49">
        <f t="shared" si="2"/>
      </c>
      <c r="AE11" s="49">
        <f t="shared" si="2"/>
      </c>
      <c r="AF11" s="49">
        <f t="shared" si="2"/>
      </c>
      <c r="AG11" s="49">
        <f t="shared" si="2"/>
      </c>
      <c r="AH11" s="49">
        <f t="shared" si="2"/>
      </c>
      <c r="AI11" s="49">
        <f t="shared" si="2"/>
      </c>
      <c r="AJ11" s="49">
        <f t="shared" si="2"/>
      </c>
      <c r="AK11" s="49" t="str">
        <f t="shared" si="2"/>
        <v>  |</v>
      </c>
      <c r="AL11" s="49">
        <f t="shared" si="2"/>
      </c>
      <c r="AM11" s="49">
        <f t="shared" si="2"/>
      </c>
      <c r="AN11" s="49">
        <f t="shared" si="2"/>
      </c>
      <c r="AO11" s="49">
        <f t="shared" si="2"/>
      </c>
      <c r="AP11" s="49">
        <f t="shared" si="2"/>
      </c>
      <c r="AQ11" s="49">
        <f t="shared" si="2"/>
      </c>
      <c r="AR11" s="49">
        <f t="shared" si="2"/>
      </c>
      <c r="AS11" s="49">
        <f t="shared" si="2"/>
      </c>
      <c r="AT11" s="49">
        <f t="shared" si="2"/>
      </c>
      <c r="AU11" s="49">
        <f t="shared" si="2"/>
      </c>
      <c r="AV11" s="49">
        <f t="shared" si="2"/>
      </c>
      <c r="AW11" s="49">
        <f t="shared" si="2"/>
      </c>
      <c r="AX11" s="49">
        <f t="shared" si="2"/>
      </c>
      <c r="AY11" s="49">
        <f t="shared" si="2"/>
      </c>
      <c r="AZ11" s="49">
        <f t="shared" si="2"/>
      </c>
      <c r="BA11" s="49">
        <f t="shared" si="2"/>
      </c>
      <c r="BB11" s="49">
        <f t="shared" si="2"/>
      </c>
      <c r="BC11" s="49">
        <f t="shared" si="2"/>
      </c>
      <c r="BD11" s="49">
        <f t="shared" si="2"/>
      </c>
      <c r="BE11" s="49" t="str">
        <f t="shared" si="2"/>
        <v>  |</v>
      </c>
      <c r="BI11" s="50"/>
      <c r="BJ11" s="51" t="s">
        <v>10</v>
      </c>
      <c r="BK11" s="51"/>
      <c r="BL11" s="56"/>
      <c r="BM11" s="51"/>
      <c r="BN11" s="54" t="s">
        <v>86</v>
      </c>
      <c r="BO11" s="54" t="str">
        <f t="shared" si="0"/>
        <v>----</v>
      </c>
      <c r="BP11" s="54" t="s">
        <v>86</v>
      </c>
      <c r="BQ11" s="51"/>
      <c r="BR11" s="51"/>
      <c r="BS11" s="51"/>
      <c r="BT11" s="51"/>
      <c r="BU11" s="53"/>
    </row>
    <row r="12" spans="2:74" ht="19.5" customHeight="1" thickBot="1">
      <c r="B12" s="169" t="s">
        <v>138</v>
      </c>
      <c r="C12" s="66" t="s">
        <v>136</v>
      </c>
      <c r="D12" s="65" t="s">
        <v>207</v>
      </c>
      <c r="E12" s="219"/>
      <c r="F12" s="22" t="s">
        <v>79</v>
      </c>
      <c r="G12" s="174"/>
      <c r="H12" s="169" t="s">
        <v>139</v>
      </c>
      <c r="I12" s="66" t="s">
        <v>137</v>
      </c>
      <c r="J12" s="65" t="s">
        <v>208</v>
      </c>
      <c r="K12" s="214"/>
      <c r="L12" s="157" t="s">
        <v>79</v>
      </c>
      <c r="M12" s="17"/>
      <c r="N12" s="17"/>
      <c r="O12" s="17" t="s">
        <v>88</v>
      </c>
      <c r="P12" s="17"/>
      <c r="Q12" s="49" t="str">
        <f aca="true" t="shared" si="3" ref="Q12:BE12">+Q52</f>
        <v>  |</v>
      </c>
      <c r="R12" s="49">
        <f t="shared" si="3"/>
      </c>
      <c r="S12" s="49">
        <f t="shared" si="3"/>
      </c>
      <c r="T12" s="49">
        <f t="shared" si="3"/>
      </c>
      <c r="U12" s="49">
        <f t="shared" si="3"/>
      </c>
      <c r="V12" s="49">
        <f t="shared" si="3"/>
      </c>
      <c r="W12" s="49">
        <f t="shared" si="3"/>
      </c>
      <c r="X12" s="49">
        <f t="shared" si="3"/>
      </c>
      <c r="Y12" s="49">
        <f t="shared" si="3"/>
      </c>
      <c r="Z12" s="49">
        <f t="shared" si="3"/>
      </c>
      <c r="AA12" s="49">
        <f t="shared" si="3"/>
      </c>
      <c r="AB12" s="49">
        <f t="shared" si="3"/>
      </c>
      <c r="AC12" s="49">
        <f t="shared" si="3"/>
      </c>
      <c r="AD12" s="49">
        <f t="shared" si="3"/>
      </c>
      <c r="AE12" s="49">
        <f t="shared" si="3"/>
      </c>
      <c r="AF12" s="49">
        <f t="shared" si="3"/>
      </c>
      <c r="AG12" s="49">
        <f t="shared" si="3"/>
      </c>
      <c r="AH12" s="49">
        <f t="shared" si="3"/>
      </c>
      <c r="AI12" s="49">
        <f t="shared" si="3"/>
      </c>
      <c r="AJ12" s="49">
        <f t="shared" si="3"/>
      </c>
      <c r="AK12" s="49" t="str">
        <f t="shared" si="3"/>
        <v>  |</v>
      </c>
      <c r="AL12" s="49">
        <f t="shared" si="3"/>
      </c>
      <c r="AM12" s="49">
        <f t="shared" si="3"/>
      </c>
      <c r="AN12" s="49">
        <f t="shared" si="3"/>
      </c>
      <c r="AO12" s="49">
        <f t="shared" si="3"/>
      </c>
      <c r="AP12" s="49">
        <f t="shared" si="3"/>
      </c>
      <c r="AQ12" s="49">
        <f t="shared" si="3"/>
      </c>
      <c r="AR12" s="49">
        <f t="shared" si="3"/>
      </c>
      <c r="AS12" s="49">
        <f t="shared" si="3"/>
      </c>
      <c r="AT12" s="49">
        <f t="shared" si="3"/>
      </c>
      <c r="AU12" s="49">
        <f t="shared" si="3"/>
      </c>
      <c r="AV12" s="49">
        <f t="shared" si="3"/>
      </c>
      <c r="AW12" s="49">
        <f t="shared" si="3"/>
      </c>
      <c r="AX12" s="49">
        <f t="shared" si="3"/>
      </c>
      <c r="AY12" s="49">
        <f t="shared" si="3"/>
      </c>
      <c r="AZ12" s="49">
        <f t="shared" si="3"/>
      </c>
      <c r="BA12" s="49">
        <f t="shared" si="3"/>
      </c>
      <c r="BB12" s="49">
        <f t="shared" si="3"/>
      </c>
      <c r="BC12" s="49">
        <f t="shared" si="3"/>
      </c>
      <c r="BD12" s="49">
        <f t="shared" si="3"/>
      </c>
      <c r="BE12" s="49" t="str">
        <f t="shared" si="3"/>
        <v>  |</v>
      </c>
      <c r="BF12" s="17"/>
      <c r="BG12" s="17"/>
      <c r="BH12" s="17"/>
      <c r="BI12" s="50"/>
      <c r="BJ12" s="51"/>
      <c r="BK12" s="51"/>
      <c r="BL12" s="56" t="s">
        <v>12</v>
      </c>
      <c r="BM12" s="51"/>
      <c r="BN12" s="54" t="s">
        <v>86</v>
      </c>
      <c r="BO12" s="54" t="str">
        <f t="shared" si="0"/>
        <v>----</v>
      </c>
      <c r="BP12" s="54" t="s">
        <v>86</v>
      </c>
      <c r="BQ12" s="51"/>
      <c r="BR12" s="51"/>
      <c r="BS12" s="51"/>
      <c r="BT12" s="51"/>
      <c r="BU12" s="53"/>
      <c r="BV12" s="17"/>
    </row>
    <row r="13" spans="2:74" ht="19.5" customHeight="1">
      <c r="B13" s="28" t="s">
        <v>149</v>
      </c>
      <c r="C13" s="67" t="s">
        <v>8</v>
      </c>
      <c r="D13" s="29"/>
      <c r="E13" s="206">
        <v>0</v>
      </c>
      <c r="F13" s="22" t="s">
        <v>79</v>
      </c>
      <c r="G13" s="175"/>
      <c r="H13" s="162" t="s">
        <v>251</v>
      </c>
      <c r="I13" s="47" t="s">
        <v>29</v>
      </c>
      <c r="J13" s="17"/>
      <c r="K13" s="207">
        <v>21062759</v>
      </c>
      <c r="L13" s="157" t="s">
        <v>79</v>
      </c>
      <c r="Q13" s="28" t="str">
        <f aca="true" t="shared" si="4" ref="Q13:BE13">+Q53</f>
        <v>  |</v>
      </c>
      <c r="R13" s="28">
        <f t="shared" si="4"/>
      </c>
      <c r="S13" s="28">
        <f t="shared" si="4"/>
      </c>
      <c r="T13" s="28">
        <f t="shared" si="4"/>
      </c>
      <c r="U13" s="28">
        <f t="shared" si="4"/>
      </c>
      <c r="V13" s="28">
        <f t="shared" si="4"/>
      </c>
      <c r="W13" s="28">
        <f t="shared" si="4"/>
      </c>
      <c r="X13" s="28">
        <f t="shared" si="4"/>
      </c>
      <c r="Y13" s="28">
        <f t="shared" si="4"/>
      </c>
      <c r="Z13" s="28">
        <f t="shared" si="4"/>
      </c>
      <c r="AA13" s="28">
        <f t="shared" si="4"/>
      </c>
      <c r="AB13" s="28">
        <f t="shared" si="4"/>
      </c>
      <c r="AC13" s="28">
        <f t="shared" si="4"/>
      </c>
      <c r="AD13" s="28">
        <f t="shared" si="4"/>
      </c>
      <c r="AE13" s="28">
        <f t="shared" si="4"/>
      </c>
      <c r="AF13" s="28">
        <f t="shared" si="4"/>
      </c>
      <c r="AG13" s="28">
        <f t="shared" si="4"/>
      </c>
      <c r="AH13" s="28">
        <f t="shared" si="4"/>
      </c>
      <c r="AI13" s="28">
        <f t="shared" si="4"/>
      </c>
      <c r="AJ13" s="28">
        <f t="shared" si="4"/>
      </c>
      <c r="AK13" s="28" t="str">
        <f t="shared" si="4"/>
        <v>  |</v>
      </c>
      <c r="AL13" s="28">
        <f t="shared" si="4"/>
      </c>
      <c r="AM13" s="28">
        <f t="shared" si="4"/>
      </c>
      <c r="AN13" s="28">
        <f t="shared" si="4"/>
      </c>
      <c r="AO13" s="28">
        <f t="shared" si="4"/>
      </c>
      <c r="AP13" s="28">
        <f t="shared" si="4"/>
      </c>
      <c r="AQ13" s="28">
        <f t="shared" si="4"/>
      </c>
      <c r="AR13" s="28">
        <f t="shared" si="4"/>
      </c>
      <c r="AS13" s="28">
        <f t="shared" si="4"/>
      </c>
      <c r="AT13" s="28">
        <f t="shared" si="4"/>
      </c>
      <c r="AU13" s="28">
        <f t="shared" si="4"/>
      </c>
      <c r="AV13" s="28">
        <f t="shared" si="4"/>
      </c>
      <c r="AW13" s="28">
        <f t="shared" si="4"/>
      </c>
      <c r="AX13" s="28">
        <f t="shared" si="4"/>
      </c>
      <c r="AY13" s="28">
        <f t="shared" si="4"/>
      </c>
      <c r="AZ13" s="28">
        <f t="shared" si="4"/>
      </c>
      <c r="BA13" s="28">
        <f t="shared" si="4"/>
      </c>
      <c r="BB13" s="28">
        <f t="shared" si="4"/>
      </c>
      <c r="BC13" s="28">
        <f t="shared" si="4"/>
      </c>
      <c r="BD13" s="28">
        <f t="shared" si="4"/>
      </c>
      <c r="BE13" s="28" t="str">
        <f t="shared" si="4"/>
        <v>  |</v>
      </c>
      <c r="BG13" s="17"/>
      <c r="BH13" s="17"/>
      <c r="BI13" s="50"/>
      <c r="BJ13" s="51" t="s">
        <v>15</v>
      </c>
      <c r="BK13" s="51"/>
      <c r="BL13" s="56"/>
      <c r="BM13" s="51"/>
      <c r="BN13" s="54" t="s">
        <v>86</v>
      </c>
      <c r="BO13" s="54" t="str">
        <f t="shared" si="0"/>
        <v>----</v>
      </c>
      <c r="BP13" s="54" t="s">
        <v>86</v>
      </c>
      <c r="BQ13" s="51"/>
      <c r="BR13" s="51"/>
      <c r="BS13" s="51"/>
      <c r="BT13" s="51"/>
      <c r="BU13" s="53"/>
      <c r="BV13" s="17"/>
    </row>
    <row r="14" spans="2:74" ht="19.5" customHeight="1">
      <c r="B14" s="28" t="s">
        <v>190</v>
      </c>
      <c r="C14" s="67" t="s">
        <v>191</v>
      </c>
      <c r="D14" s="29"/>
      <c r="E14" s="207">
        <v>2408614</v>
      </c>
      <c r="F14" s="22" t="s">
        <v>79</v>
      </c>
      <c r="G14" s="175"/>
      <c r="H14" s="159" t="s">
        <v>252</v>
      </c>
      <c r="I14" s="47" t="s">
        <v>32</v>
      </c>
      <c r="J14" s="17"/>
      <c r="K14" s="207">
        <v>0</v>
      </c>
      <c r="L14" s="157" t="s">
        <v>79</v>
      </c>
      <c r="O14" s="21" t="s">
        <v>89</v>
      </c>
      <c r="Q14" s="28" t="str">
        <f aca="true" t="shared" si="5" ref="Q14:BE14">+Q54</f>
        <v>  |</v>
      </c>
      <c r="R14" s="28">
        <f t="shared" si="5"/>
      </c>
      <c r="S14" s="28">
        <f t="shared" si="5"/>
      </c>
      <c r="T14" s="28">
        <f t="shared" si="5"/>
      </c>
      <c r="U14" s="28">
        <f t="shared" si="5"/>
      </c>
      <c r="V14" s="28">
        <f t="shared" si="5"/>
      </c>
      <c r="W14" s="28">
        <f t="shared" si="5"/>
      </c>
      <c r="X14" s="28">
        <f t="shared" si="5"/>
      </c>
      <c r="Y14" s="28">
        <f t="shared" si="5"/>
      </c>
      <c r="Z14" s="28">
        <f t="shared" si="5"/>
      </c>
      <c r="AA14" s="28">
        <f t="shared" si="5"/>
      </c>
      <c r="AB14" s="28">
        <f t="shared" si="5"/>
      </c>
      <c r="AC14" s="28">
        <f t="shared" si="5"/>
      </c>
      <c r="AD14" s="28">
        <f t="shared" si="5"/>
      </c>
      <c r="AE14" s="28">
        <f t="shared" si="5"/>
      </c>
      <c r="AF14" s="28">
        <f t="shared" si="5"/>
      </c>
      <c r="AG14" s="28">
        <f t="shared" si="5"/>
      </c>
      <c r="AH14" s="28">
        <f t="shared" si="5"/>
      </c>
      <c r="AI14" s="28">
        <f t="shared" si="5"/>
      </c>
      <c r="AJ14" s="28">
        <f t="shared" si="5"/>
      </c>
      <c r="AK14" s="28" t="str">
        <f t="shared" si="5"/>
        <v>  |</v>
      </c>
      <c r="AL14" s="28">
        <f t="shared" si="5"/>
      </c>
      <c r="AM14" s="28">
        <f t="shared" si="5"/>
      </c>
      <c r="AN14" s="28">
        <f t="shared" si="5"/>
      </c>
      <c r="AO14" s="28">
        <f t="shared" si="5"/>
      </c>
      <c r="AP14" s="28">
        <f t="shared" si="5"/>
      </c>
      <c r="AQ14" s="28">
        <f t="shared" si="5"/>
      </c>
      <c r="AR14" s="28">
        <f t="shared" si="5"/>
      </c>
      <c r="AS14" s="28">
        <f t="shared" si="5"/>
      </c>
      <c r="AT14" s="28">
        <f t="shared" si="5"/>
      </c>
      <c r="AU14" s="28">
        <f t="shared" si="5"/>
      </c>
      <c r="AV14" s="28">
        <f t="shared" si="5"/>
      </c>
      <c r="AW14" s="28">
        <f t="shared" si="5"/>
      </c>
      <c r="AX14" s="28">
        <f t="shared" si="5"/>
      </c>
      <c r="AY14" s="28">
        <f t="shared" si="5"/>
      </c>
      <c r="AZ14" s="28">
        <f t="shared" si="5"/>
      </c>
      <c r="BA14" s="28">
        <f t="shared" si="5"/>
      </c>
      <c r="BB14" s="28">
        <f t="shared" si="5"/>
      </c>
      <c r="BC14" s="28">
        <f t="shared" si="5"/>
      </c>
      <c r="BD14" s="28">
        <f t="shared" si="5"/>
      </c>
      <c r="BE14" s="28" t="str">
        <f t="shared" si="5"/>
        <v>  |</v>
      </c>
      <c r="BG14" s="17"/>
      <c r="BH14" s="17"/>
      <c r="BI14" s="50"/>
      <c r="BJ14" s="51"/>
      <c r="BK14" s="51"/>
      <c r="BL14" s="56" t="s">
        <v>17</v>
      </c>
      <c r="BM14" s="51"/>
      <c r="BN14" s="54" t="s">
        <v>86</v>
      </c>
      <c r="BO14" s="54" t="str">
        <f t="shared" si="0"/>
        <v>----</v>
      </c>
      <c r="BP14" s="54" t="s">
        <v>86</v>
      </c>
      <c r="BQ14" s="51"/>
      <c r="BR14" s="51"/>
      <c r="BS14" s="51" t="s">
        <v>18</v>
      </c>
      <c r="BT14" s="51"/>
      <c r="BU14" s="53"/>
      <c r="BV14" s="17"/>
    </row>
    <row r="15" spans="2:74" ht="19.5" customHeight="1">
      <c r="B15" s="28" t="s">
        <v>192</v>
      </c>
      <c r="C15" s="67" t="s">
        <v>193</v>
      </c>
      <c r="D15" s="29"/>
      <c r="E15" s="207">
        <v>23965273</v>
      </c>
      <c r="F15" s="22" t="s">
        <v>79</v>
      </c>
      <c r="G15" s="175"/>
      <c r="H15" s="159" t="s">
        <v>164</v>
      </c>
      <c r="I15" s="47" t="s">
        <v>33</v>
      </c>
      <c r="J15" s="17"/>
      <c r="K15" s="207">
        <v>-10346114</v>
      </c>
      <c r="L15" s="19" t="s">
        <v>79</v>
      </c>
      <c r="Q15" s="28" t="str">
        <f aca="true" t="shared" si="6" ref="Q15:BE15">+Q55</f>
        <v>  |</v>
      </c>
      <c r="R15" s="28">
        <f t="shared" si="6"/>
      </c>
      <c r="S15" s="28">
        <f t="shared" si="6"/>
      </c>
      <c r="T15" s="28">
        <f t="shared" si="6"/>
      </c>
      <c r="U15" s="28">
        <f t="shared" si="6"/>
      </c>
      <c r="V15" s="28">
        <f t="shared" si="6"/>
      </c>
      <c r="W15" s="28">
        <f t="shared" si="6"/>
      </c>
      <c r="X15" s="28">
        <f t="shared" si="6"/>
      </c>
      <c r="Y15" s="28">
        <f t="shared" si="6"/>
      </c>
      <c r="Z15" s="28">
        <f t="shared" si="6"/>
      </c>
      <c r="AA15" s="28">
        <f t="shared" si="6"/>
      </c>
      <c r="AB15" s="28">
        <f t="shared" si="6"/>
      </c>
      <c r="AC15" s="28">
        <f t="shared" si="6"/>
      </c>
      <c r="AD15" s="28">
        <f t="shared" si="6"/>
      </c>
      <c r="AE15" s="28">
        <f t="shared" si="6"/>
      </c>
      <c r="AF15" s="28">
        <f t="shared" si="6"/>
      </c>
      <c r="AG15" s="28">
        <f t="shared" si="6"/>
      </c>
      <c r="AH15" s="28">
        <f t="shared" si="6"/>
      </c>
      <c r="AI15" s="28">
        <f t="shared" si="6"/>
      </c>
      <c r="AJ15" s="28">
        <f t="shared" si="6"/>
      </c>
      <c r="AK15" s="28" t="str">
        <f t="shared" si="6"/>
        <v>  |</v>
      </c>
      <c r="AL15" s="28">
        <f t="shared" si="6"/>
      </c>
      <c r="AM15" s="28">
        <f t="shared" si="6"/>
      </c>
      <c r="AN15" s="28">
        <f t="shared" si="6"/>
      </c>
      <c r="AO15" s="28">
        <f t="shared" si="6"/>
      </c>
      <c r="AP15" s="28">
        <f t="shared" si="6"/>
      </c>
      <c r="AQ15" s="28">
        <f t="shared" si="6"/>
      </c>
      <c r="AR15" s="28">
        <f t="shared" si="6"/>
      </c>
      <c r="AS15" s="28">
        <f t="shared" si="6"/>
      </c>
      <c r="AT15" s="28">
        <f t="shared" si="6"/>
      </c>
      <c r="AU15" s="28">
        <f t="shared" si="6"/>
      </c>
      <c r="AV15" s="28">
        <f t="shared" si="6"/>
      </c>
      <c r="AW15" s="28">
        <f t="shared" si="6"/>
      </c>
      <c r="AX15" s="28">
        <f t="shared" si="6"/>
      </c>
      <c r="AY15" s="28">
        <f t="shared" si="6"/>
      </c>
      <c r="AZ15" s="28">
        <f t="shared" si="6"/>
      </c>
      <c r="BA15" s="28">
        <f t="shared" si="6"/>
      </c>
      <c r="BB15" s="28">
        <f t="shared" si="6"/>
      </c>
      <c r="BC15" s="28">
        <f t="shared" si="6"/>
      </c>
      <c r="BD15" s="28">
        <f t="shared" si="6"/>
      </c>
      <c r="BE15" s="28" t="str">
        <f t="shared" si="6"/>
        <v>  |</v>
      </c>
      <c r="BF15" s="3"/>
      <c r="BI15" s="31"/>
      <c r="BJ15" s="10" t="s">
        <v>20</v>
      </c>
      <c r="BK15" s="24"/>
      <c r="BL15" s="12"/>
      <c r="BM15" s="10"/>
      <c r="BN15" s="54" t="s">
        <v>86</v>
      </c>
      <c r="BO15" s="54" t="str">
        <f t="shared" si="0"/>
        <v>----</v>
      </c>
      <c r="BP15" s="54" t="s">
        <v>86</v>
      </c>
      <c r="BQ15" s="10"/>
      <c r="BR15" s="24"/>
      <c r="BS15" s="10"/>
      <c r="BT15" s="24"/>
      <c r="BU15" s="11"/>
      <c r="BV15" s="3"/>
    </row>
    <row r="16" spans="2:74" ht="19.5" customHeight="1">
      <c r="B16" s="28" t="s">
        <v>150</v>
      </c>
      <c r="C16" s="47" t="s">
        <v>3</v>
      </c>
      <c r="D16" s="29"/>
      <c r="E16" s="207">
        <v>0</v>
      </c>
      <c r="F16" s="22" t="s">
        <v>79</v>
      </c>
      <c r="G16" s="175"/>
      <c r="H16" s="162" t="s">
        <v>155</v>
      </c>
      <c r="I16" s="47" t="s">
        <v>38</v>
      </c>
      <c r="J16" s="17"/>
      <c r="K16" s="207">
        <v>0</v>
      </c>
      <c r="L16" s="22" t="s">
        <v>79</v>
      </c>
      <c r="M16" s="26" t="s">
        <v>16</v>
      </c>
      <c r="O16" s="21" t="s">
        <v>90</v>
      </c>
      <c r="Q16" s="28" t="str">
        <f aca="true" t="shared" si="7" ref="Q16:BE16">+Q56</f>
        <v>  |</v>
      </c>
      <c r="R16" s="28">
        <f t="shared" si="7"/>
      </c>
      <c r="S16" s="28">
        <f t="shared" si="7"/>
      </c>
      <c r="T16" s="28">
        <f t="shared" si="7"/>
      </c>
      <c r="U16" s="28">
        <f t="shared" si="7"/>
      </c>
      <c r="V16" s="28">
        <f t="shared" si="7"/>
      </c>
      <c r="W16" s="28">
        <f t="shared" si="7"/>
      </c>
      <c r="X16" s="28">
        <f t="shared" si="7"/>
      </c>
      <c r="Y16" s="28">
        <f t="shared" si="7"/>
      </c>
      <c r="Z16" s="28">
        <f t="shared" si="7"/>
      </c>
      <c r="AA16" s="28">
        <f t="shared" si="7"/>
      </c>
      <c r="AB16" s="28">
        <f t="shared" si="7"/>
      </c>
      <c r="AC16" s="28">
        <f t="shared" si="7"/>
      </c>
      <c r="AD16" s="28">
        <f t="shared" si="7"/>
      </c>
      <c r="AE16" s="28">
        <f t="shared" si="7"/>
      </c>
      <c r="AF16" s="28">
        <f t="shared" si="7"/>
      </c>
      <c r="AG16" s="28">
        <f t="shared" si="7"/>
      </c>
      <c r="AH16" s="28">
        <f t="shared" si="7"/>
      </c>
      <c r="AI16" s="28">
        <f t="shared" si="7"/>
      </c>
      <c r="AJ16" s="28">
        <f t="shared" si="7"/>
      </c>
      <c r="AK16" s="28" t="str">
        <f t="shared" si="7"/>
        <v>  |</v>
      </c>
      <c r="AL16" s="28">
        <f t="shared" si="7"/>
      </c>
      <c r="AM16" s="28">
        <f t="shared" si="7"/>
      </c>
      <c r="AN16" s="28">
        <f t="shared" si="7"/>
      </c>
      <c r="AO16" s="28">
        <f t="shared" si="7"/>
      </c>
      <c r="AP16" s="28">
        <f t="shared" si="7"/>
      </c>
      <c r="AQ16" s="28">
        <f t="shared" si="7"/>
      </c>
      <c r="AR16" s="28">
        <f t="shared" si="7"/>
      </c>
      <c r="AS16" s="28">
        <f t="shared" si="7"/>
      </c>
      <c r="AT16" s="28">
        <f t="shared" si="7"/>
      </c>
      <c r="AU16" s="28">
        <f t="shared" si="7"/>
      </c>
      <c r="AV16" s="28">
        <f t="shared" si="7"/>
      </c>
      <c r="AW16" s="28">
        <f t="shared" si="7"/>
      </c>
      <c r="AX16" s="28">
        <f t="shared" si="7"/>
      </c>
      <c r="AY16" s="28">
        <f t="shared" si="7"/>
      </c>
      <c r="AZ16" s="28">
        <f t="shared" si="7"/>
      </c>
      <c r="BA16" s="28">
        <f t="shared" si="7"/>
      </c>
      <c r="BB16" s="28">
        <f t="shared" si="7"/>
      </c>
      <c r="BC16" s="28">
        <f t="shared" si="7"/>
      </c>
      <c r="BD16" s="28">
        <f t="shared" si="7"/>
      </c>
      <c r="BE16" s="28" t="str">
        <f t="shared" si="7"/>
        <v>  |</v>
      </c>
      <c r="BI16" s="31"/>
      <c r="BJ16" s="10"/>
      <c r="BK16" s="24"/>
      <c r="BL16" s="12" t="s">
        <v>22</v>
      </c>
      <c r="BM16" s="10"/>
      <c r="BN16" s="54" t="s">
        <v>86</v>
      </c>
      <c r="BO16" s="54" t="str">
        <f t="shared" si="0"/>
        <v>----</v>
      </c>
      <c r="BP16" s="54" t="s">
        <v>86</v>
      </c>
      <c r="BQ16" s="10"/>
      <c r="BR16" s="24"/>
      <c r="BS16" s="10"/>
      <c r="BT16" s="24"/>
      <c r="BU16" s="11"/>
      <c r="BV16" s="3"/>
    </row>
    <row r="17" spans="2:74" ht="19.5" customHeight="1">
      <c r="B17" s="28" t="s">
        <v>151</v>
      </c>
      <c r="C17" s="67" t="s">
        <v>129</v>
      </c>
      <c r="D17" s="29"/>
      <c r="E17" s="207">
        <v>238044</v>
      </c>
      <c r="F17" s="22" t="s">
        <v>79</v>
      </c>
      <c r="G17" s="175"/>
      <c r="H17" s="159" t="s">
        <v>194</v>
      </c>
      <c r="I17" s="67" t="s">
        <v>195</v>
      </c>
      <c r="J17" s="17"/>
      <c r="K17" s="207">
        <v>5311128</v>
      </c>
      <c r="L17" s="22" t="s">
        <v>79</v>
      </c>
      <c r="M17" s="26" t="s">
        <v>21</v>
      </c>
      <c r="Q17" s="28" t="str">
        <f aca="true" t="shared" si="8" ref="Q17:BE17">+Q57</f>
        <v>  |</v>
      </c>
      <c r="R17" s="28">
        <f t="shared" si="8"/>
      </c>
      <c r="S17" s="28">
        <f t="shared" si="8"/>
      </c>
      <c r="T17" s="28">
        <f t="shared" si="8"/>
      </c>
      <c r="U17" s="28">
        <f t="shared" si="8"/>
      </c>
      <c r="V17" s="28">
        <f t="shared" si="8"/>
      </c>
      <c r="W17" s="28">
        <f t="shared" si="8"/>
      </c>
      <c r="X17" s="28">
        <f t="shared" si="8"/>
      </c>
      <c r="Y17" s="28">
        <f t="shared" si="8"/>
      </c>
      <c r="Z17" s="28">
        <f t="shared" si="8"/>
      </c>
      <c r="AA17" s="28">
        <f t="shared" si="8"/>
      </c>
      <c r="AB17" s="28">
        <f t="shared" si="8"/>
      </c>
      <c r="AC17" s="28">
        <f t="shared" si="8"/>
      </c>
      <c r="AD17" s="28">
        <f t="shared" si="8"/>
      </c>
      <c r="AE17" s="28">
        <f t="shared" si="8"/>
      </c>
      <c r="AF17" s="28">
        <f t="shared" si="8"/>
      </c>
      <c r="AG17" s="28">
        <f t="shared" si="8"/>
      </c>
      <c r="AH17" s="28">
        <f t="shared" si="8"/>
      </c>
      <c r="AI17" s="28">
        <f t="shared" si="8"/>
      </c>
      <c r="AJ17" s="28">
        <f t="shared" si="8"/>
      </c>
      <c r="AK17" s="28" t="str">
        <f t="shared" si="8"/>
        <v>  |</v>
      </c>
      <c r="AL17" s="28">
        <f t="shared" si="8"/>
      </c>
      <c r="AM17" s="28">
        <f t="shared" si="8"/>
      </c>
      <c r="AN17" s="28">
        <f t="shared" si="8"/>
      </c>
      <c r="AO17" s="28">
        <f t="shared" si="8"/>
      </c>
      <c r="AP17" s="28">
        <f t="shared" si="8"/>
      </c>
      <c r="AQ17" s="28">
        <f t="shared" si="8"/>
      </c>
      <c r="AR17" s="28">
        <f t="shared" si="8"/>
      </c>
      <c r="AS17" s="28">
        <f t="shared" si="8"/>
      </c>
      <c r="AT17" s="28">
        <f t="shared" si="8"/>
      </c>
      <c r="AU17" s="28">
        <f t="shared" si="8"/>
      </c>
      <c r="AV17" s="28">
        <f t="shared" si="8"/>
      </c>
      <c r="AW17" s="28">
        <f t="shared" si="8"/>
      </c>
      <c r="AX17" s="28">
        <f t="shared" si="8"/>
      </c>
      <c r="AY17" s="28">
        <f t="shared" si="8"/>
      </c>
      <c r="AZ17" s="28">
        <f t="shared" si="8"/>
      </c>
      <c r="BA17" s="28">
        <f t="shared" si="8"/>
      </c>
      <c r="BB17" s="28">
        <f t="shared" si="8"/>
      </c>
      <c r="BC17" s="28">
        <f t="shared" si="8"/>
      </c>
      <c r="BD17" s="28">
        <f t="shared" si="8"/>
      </c>
      <c r="BE17" s="28" t="str">
        <f t="shared" si="8"/>
        <v>  |</v>
      </c>
      <c r="BI17" s="31"/>
      <c r="BJ17" s="10" t="s">
        <v>25</v>
      </c>
      <c r="BK17" s="24"/>
      <c r="BL17" s="12"/>
      <c r="BM17" s="10"/>
      <c r="BN17" s="54" t="s">
        <v>86</v>
      </c>
      <c r="BO17" s="54" t="str">
        <f t="shared" si="0"/>
        <v>----</v>
      </c>
      <c r="BP17" s="54" t="s">
        <v>86</v>
      </c>
      <c r="BQ17" s="10"/>
      <c r="BR17" s="24"/>
      <c r="BS17" s="10"/>
      <c r="BT17" s="24"/>
      <c r="BU17" s="11"/>
      <c r="BV17" s="3"/>
    </row>
    <row r="18" spans="2:73" ht="19.5" customHeight="1">
      <c r="B18" s="159" t="s">
        <v>80</v>
      </c>
      <c r="C18" s="67" t="s">
        <v>130</v>
      </c>
      <c r="D18" s="29" t="s">
        <v>143</v>
      </c>
      <c r="E18" s="207">
        <v>0</v>
      </c>
      <c r="F18" s="22" t="s">
        <v>79</v>
      </c>
      <c r="G18" s="175"/>
      <c r="H18" s="162" t="s">
        <v>156</v>
      </c>
      <c r="I18" s="47" t="s">
        <v>39</v>
      </c>
      <c r="J18" s="17"/>
      <c r="K18" s="207">
        <v>0</v>
      </c>
      <c r="L18" s="22" t="s">
        <v>79</v>
      </c>
      <c r="M18" s="26" t="s">
        <v>26</v>
      </c>
      <c r="O18" s="21" t="s">
        <v>91</v>
      </c>
      <c r="Q18" s="28" t="str">
        <f aca="true" t="shared" si="9" ref="Q18:BE18">+Q58</f>
        <v>  |</v>
      </c>
      <c r="R18" s="28">
        <f t="shared" si="9"/>
      </c>
      <c r="S18" s="28">
        <f t="shared" si="9"/>
      </c>
      <c r="T18" s="28">
        <f t="shared" si="9"/>
      </c>
      <c r="U18" s="28">
        <f t="shared" si="9"/>
      </c>
      <c r="V18" s="28">
        <f t="shared" si="9"/>
      </c>
      <c r="W18" s="28">
        <f t="shared" si="9"/>
      </c>
      <c r="X18" s="28">
        <f t="shared" si="9"/>
      </c>
      <c r="Y18" s="28">
        <f t="shared" si="9"/>
      </c>
      <c r="Z18" s="28">
        <f t="shared" si="9"/>
      </c>
      <c r="AA18" s="28">
        <f t="shared" si="9"/>
      </c>
      <c r="AB18" s="28">
        <f t="shared" si="9"/>
      </c>
      <c r="AC18" s="28">
        <f t="shared" si="9"/>
      </c>
      <c r="AD18" s="28">
        <f t="shared" si="9"/>
      </c>
      <c r="AE18" s="28">
        <f t="shared" si="9"/>
      </c>
      <c r="AF18" s="28">
        <f t="shared" si="9"/>
      </c>
      <c r="AG18" s="28">
        <f t="shared" si="9"/>
      </c>
      <c r="AH18" s="28">
        <f t="shared" si="9"/>
      </c>
      <c r="AI18" s="28">
        <f t="shared" si="9"/>
      </c>
      <c r="AJ18" s="28">
        <f t="shared" si="9"/>
      </c>
      <c r="AK18" s="28" t="str">
        <f t="shared" si="9"/>
        <v>  |</v>
      </c>
      <c r="AL18" s="28">
        <f t="shared" si="9"/>
      </c>
      <c r="AM18" s="28">
        <f t="shared" si="9"/>
      </c>
      <c r="AN18" s="28">
        <f t="shared" si="9"/>
      </c>
      <c r="AO18" s="28">
        <f t="shared" si="9"/>
      </c>
      <c r="AP18" s="28">
        <f t="shared" si="9"/>
      </c>
      <c r="AQ18" s="28">
        <f t="shared" si="9"/>
      </c>
      <c r="AR18" s="28">
        <f t="shared" si="9"/>
      </c>
      <c r="AS18" s="28">
        <f t="shared" si="9"/>
      </c>
      <c r="AT18" s="28">
        <f t="shared" si="9"/>
      </c>
      <c r="AU18" s="28">
        <f t="shared" si="9"/>
      </c>
      <c r="AV18" s="28">
        <f t="shared" si="9"/>
      </c>
      <c r="AW18" s="28">
        <f t="shared" si="9"/>
      </c>
      <c r="AX18" s="28">
        <f t="shared" si="9"/>
      </c>
      <c r="AY18" s="28">
        <f t="shared" si="9"/>
      </c>
      <c r="AZ18" s="28">
        <f t="shared" si="9"/>
      </c>
      <c r="BA18" s="28">
        <f t="shared" si="9"/>
      </c>
      <c r="BB18" s="28">
        <f t="shared" si="9"/>
      </c>
      <c r="BC18" s="28">
        <f t="shared" si="9"/>
      </c>
      <c r="BD18" s="28">
        <f t="shared" si="9"/>
      </c>
      <c r="BE18" s="28" t="str">
        <f t="shared" si="9"/>
        <v>  |</v>
      </c>
      <c r="BI18" s="31"/>
      <c r="BJ18" s="24"/>
      <c r="BK18" s="24"/>
      <c r="BL18" s="35" t="s">
        <v>27</v>
      </c>
      <c r="BM18" s="24"/>
      <c r="BN18" s="54" t="s">
        <v>86</v>
      </c>
      <c r="BO18" s="54" t="str">
        <f t="shared" si="0"/>
        <v>----</v>
      </c>
      <c r="BP18" s="54" t="s">
        <v>86</v>
      </c>
      <c r="BQ18" s="24"/>
      <c r="BR18" s="24"/>
      <c r="BS18" s="10" t="s">
        <v>28</v>
      </c>
      <c r="BT18" s="24"/>
      <c r="BU18" s="32"/>
    </row>
    <row r="19" spans="2:74" ht="19.5" customHeight="1">
      <c r="B19" s="159" t="s">
        <v>81</v>
      </c>
      <c r="C19" s="67" t="s">
        <v>131</v>
      </c>
      <c r="D19" s="29" t="s">
        <v>143</v>
      </c>
      <c r="E19" s="207">
        <v>0</v>
      </c>
      <c r="F19" s="22" t="s">
        <v>79</v>
      </c>
      <c r="G19" s="175"/>
      <c r="H19" s="162" t="s">
        <v>157</v>
      </c>
      <c r="I19" s="47" t="s">
        <v>42</v>
      </c>
      <c r="J19" s="17"/>
      <c r="K19" s="207">
        <v>5204659</v>
      </c>
      <c r="L19" s="22" t="s">
        <v>79</v>
      </c>
      <c r="M19" s="26" t="s">
        <v>30</v>
      </c>
      <c r="Q19" s="28" t="str">
        <f aca="true" t="shared" si="10" ref="Q19:BE19">+Q59</f>
        <v>  |</v>
      </c>
      <c r="R19" s="28">
        <f t="shared" si="10"/>
      </c>
      <c r="S19" s="28">
        <f t="shared" si="10"/>
      </c>
      <c r="T19" s="28">
        <f t="shared" si="10"/>
      </c>
      <c r="U19" s="28">
        <f t="shared" si="10"/>
      </c>
      <c r="V19" s="28">
        <f t="shared" si="10"/>
      </c>
      <c r="W19" s="28">
        <f t="shared" si="10"/>
      </c>
      <c r="X19" s="28">
        <f t="shared" si="10"/>
      </c>
      <c r="Y19" s="28">
        <f t="shared" si="10"/>
      </c>
      <c r="Z19" s="28">
        <f t="shared" si="10"/>
      </c>
      <c r="AA19" s="28">
        <f t="shared" si="10"/>
      </c>
      <c r="AB19" s="28">
        <f t="shared" si="10"/>
      </c>
      <c r="AC19" s="28">
        <f t="shared" si="10"/>
      </c>
      <c r="AD19" s="28">
        <f t="shared" si="10"/>
      </c>
      <c r="AE19" s="28">
        <f t="shared" si="10"/>
      </c>
      <c r="AF19" s="28">
        <f t="shared" si="10"/>
      </c>
      <c r="AG19" s="28">
        <f t="shared" si="10"/>
      </c>
      <c r="AH19" s="28">
        <f t="shared" si="10"/>
      </c>
      <c r="AI19" s="28">
        <f t="shared" si="10"/>
      </c>
      <c r="AJ19" s="28">
        <f t="shared" si="10"/>
      </c>
      <c r="AK19" s="28" t="str">
        <f t="shared" si="10"/>
        <v>  |</v>
      </c>
      <c r="AL19" s="28">
        <f t="shared" si="10"/>
      </c>
      <c r="AM19" s="28">
        <f t="shared" si="10"/>
      </c>
      <c r="AN19" s="28">
        <f t="shared" si="10"/>
      </c>
      <c r="AO19" s="28">
        <f t="shared" si="10"/>
      </c>
      <c r="AP19" s="28">
        <f t="shared" si="10"/>
      </c>
      <c r="AQ19" s="28">
        <f t="shared" si="10"/>
      </c>
      <c r="AR19" s="28">
        <f t="shared" si="10"/>
      </c>
      <c r="AS19" s="28">
        <f t="shared" si="10"/>
      </c>
      <c r="AT19" s="28">
        <f t="shared" si="10"/>
      </c>
      <c r="AU19" s="28">
        <f t="shared" si="10"/>
      </c>
      <c r="AV19" s="28">
        <f t="shared" si="10"/>
      </c>
      <c r="AW19" s="28">
        <f t="shared" si="10"/>
      </c>
      <c r="AX19" s="28">
        <f t="shared" si="10"/>
      </c>
      <c r="AY19" s="28">
        <f t="shared" si="10"/>
      </c>
      <c r="AZ19" s="28">
        <f t="shared" si="10"/>
      </c>
      <c r="BA19" s="28">
        <f t="shared" si="10"/>
      </c>
      <c r="BB19" s="28">
        <f t="shared" si="10"/>
      </c>
      <c r="BC19" s="28">
        <f t="shared" si="10"/>
      </c>
      <c r="BD19" s="28">
        <f t="shared" si="10"/>
      </c>
      <c r="BE19" s="28" t="str">
        <f t="shared" si="10"/>
        <v>  |</v>
      </c>
      <c r="BI19" s="31"/>
      <c r="BJ19" s="18" t="s">
        <v>181</v>
      </c>
      <c r="BK19" s="24"/>
      <c r="BL19" s="12"/>
      <c r="BM19" s="10"/>
      <c r="BN19" s="54" t="s">
        <v>86</v>
      </c>
      <c r="BO19" s="54" t="str">
        <f t="shared" si="0"/>
        <v>----</v>
      </c>
      <c r="BP19" s="54" t="s">
        <v>86</v>
      </c>
      <c r="BQ19" s="10"/>
      <c r="BR19" s="24"/>
      <c r="BS19" s="10"/>
      <c r="BT19" s="24"/>
      <c r="BU19" s="11"/>
      <c r="BV19" s="3"/>
    </row>
    <row r="20" spans="2:74" ht="19.5" customHeight="1">
      <c r="B20" s="159" t="s">
        <v>152</v>
      </c>
      <c r="C20" s="47" t="s">
        <v>11</v>
      </c>
      <c r="D20" s="29"/>
      <c r="E20" s="207">
        <v>0</v>
      </c>
      <c r="F20" s="22" t="s">
        <v>79</v>
      </c>
      <c r="G20" s="175"/>
      <c r="H20" s="162" t="s">
        <v>248</v>
      </c>
      <c r="I20" s="67" t="s">
        <v>24</v>
      </c>
      <c r="J20" s="17"/>
      <c r="K20" s="207">
        <v>0</v>
      </c>
      <c r="L20" s="22" t="s">
        <v>79</v>
      </c>
      <c r="M20" s="26" t="s">
        <v>21</v>
      </c>
      <c r="O20" s="28" t="s">
        <v>92</v>
      </c>
      <c r="P20" s="28"/>
      <c r="Q20" s="28" t="str">
        <f aca="true" t="shared" si="11" ref="Q20:BE20">+Q60</f>
        <v>--</v>
      </c>
      <c r="R20" s="28" t="str">
        <f t="shared" si="11"/>
        <v>--</v>
      </c>
      <c r="S20" s="28" t="str">
        <f t="shared" si="11"/>
        <v>--</v>
      </c>
      <c r="T20" s="28" t="str">
        <f t="shared" si="11"/>
        <v>--</v>
      </c>
      <c r="U20" s="28" t="str">
        <f t="shared" si="11"/>
        <v>--</v>
      </c>
      <c r="V20" s="28" t="str">
        <f t="shared" si="11"/>
        <v>--</v>
      </c>
      <c r="W20" s="28" t="str">
        <f t="shared" si="11"/>
        <v>--</v>
      </c>
      <c r="X20" s="28" t="str">
        <f t="shared" si="11"/>
        <v>--</v>
      </c>
      <c r="Y20" s="28" t="str">
        <f t="shared" si="11"/>
        <v>--</v>
      </c>
      <c r="Z20" s="28" t="str">
        <f t="shared" si="11"/>
        <v>--</v>
      </c>
      <c r="AA20" s="28" t="str">
        <f t="shared" si="11"/>
        <v>--</v>
      </c>
      <c r="AB20" s="28" t="str">
        <f t="shared" si="11"/>
        <v>--</v>
      </c>
      <c r="AC20" s="28" t="str">
        <f t="shared" si="11"/>
        <v>--</v>
      </c>
      <c r="AD20" s="28" t="str">
        <f t="shared" si="11"/>
        <v>--</v>
      </c>
      <c r="AE20" s="28" t="str">
        <f t="shared" si="11"/>
        <v>--</v>
      </c>
      <c r="AF20" s="28" t="str">
        <f t="shared" si="11"/>
        <v>--</v>
      </c>
      <c r="AG20" s="28" t="str">
        <f t="shared" si="11"/>
        <v>--</v>
      </c>
      <c r="AH20" s="28" t="str">
        <f t="shared" si="11"/>
        <v>--</v>
      </c>
      <c r="AI20" s="28" t="str">
        <f t="shared" si="11"/>
        <v>--</v>
      </c>
      <c r="AJ20" s="28" t="str">
        <f t="shared" si="11"/>
        <v>--</v>
      </c>
      <c r="AK20" s="28" t="str">
        <f t="shared" si="11"/>
        <v>--</v>
      </c>
      <c r="AL20" s="28" t="str">
        <f t="shared" si="11"/>
        <v>--</v>
      </c>
      <c r="AM20" s="28" t="str">
        <f t="shared" si="11"/>
        <v>--</v>
      </c>
      <c r="AN20" s="28" t="str">
        <f t="shared" si="11"/>
        <v>--</v>
      </c>
      <c r="AO20" s="28" t="str">
        <f t="shared" si="11"/>
        <v>--</v>
      </c>
      <c r="AP20" s="28" t="str">
        <f t="shared" si="11"/>
        <v>--</v>
      </c>
      <c r="AQ20" s="28" t="str">
        <f t="shared" si="11"/>
        <v>--</v>
      </c>
      <c r="AR20" s="28" t="str">
        <f t="shared" si="11"/>
        <v>--</v>
      </c>
      <c r="AS20" s="28" t="str">
        <f t="shared" si="11"/>
        <v>--</v>
      </c>
      <c r="AT20" s="28" t="str">
        <f t="shared" si="11"/>
        <v>--</v>
      </c>
      <c r="AU20" s="28" t="str">
        <f t="shared" si="11"/>
        <v>--</v>
      </c>
      <c r="AV20" s="28" t="str">
        <f t="shared" si="11"/>
        <v>--</v>
      </c>
      <c r="AW20" s="28" t="str">
        <f t="shared" si="11"/>
        <v>--</v>
      </c>
      <c r="AX20" s="28" t="str">
        <f t="shared" si="11"/>
        <v>--</v>
      </c>
      <c r="AY20" s="28" t="str">
        <f t="shared" si="11"/>
        <v>--</v>
      </c>
      <c r="AZ20" s="28" t="str">
        <f t="shared" si="11"/>
        <v>--</v>
      </c>
      <c r="BA20" s="28" t="str">
        <f t="shared" si="11"/>
        <v>--</v>
      </c>
      <c r="BB20" s="28" t="str">
        <f t="shared" si="11"/>
        <v>--</v>
      </c>
      <c r="BC20" s="28" t="str">
        <f t="shared" si="11"/>
        <v>--</v>
      </c>
      <c r="BD20" s="28" t="str">
        <f t="shared" si="11"/>
        <v>--</v>
      </c>
      <c r="BE20" s="28" t="str">
        <f t="shared" si="11"/>
        <v>--</v>
      </c>
      <c r="BI20" s="43" t="s">
        <v>127</v>
      </c>
      <c r="BJ20" s="10"/>
      <c r="BK20" s="24"/>
      <c r="BL20" s="12" t="s">
        <v>31</v>
      </c>
      <c r="BM20" s="10"/>
      <c r="BN20" s="54" t="s">
        <v>86</v>
      </c>
      <c r="BO20" s="54" t="str">
        <f t="shared" si="0"/>
        <v>----</v>
      </c>
      <c r="BP20" s="54" t="s">
        <v>86</v>
      </c>
      <c r="BQ20" s="10"/>
      <c r="BR20" s="44" t="s">
        <v>128</v>
      </c>
      <c r="BS20" s="13"/>
      <c r="BT20" s="13"/>
      <c r="BU20" s="14"/>
      <c r="BV20" s="3"/>
    </row>
    <row r="21" spans="2:74" ht="19.5" customHeight="1" thickBot="1">
      <c r="B21" s="28" t="s">
        <v>201</v>
      </c>
      <c r="C21" s="67" t="s">
        <v>202</v>
      </c>
      <c r="D21" s="29"/>
      <c r="E21" s="207">
        <v>1211615</v>
      </c>
      <c r="F21" s="22" t="s">
        <v>79</v>
      </c>
      <c r="G21" s="175"/>
      <c r="H21" s="162" t="s">
        <v>154</v>
      </c>
      <c r="I21" s="47" t="s">
        <v>50</v>
      </c>
      <c r="J21" s="17"/>
      <c r="K21" s="207">
        <v>106470</v>
      </c>
      <c r="L21" s="19" t="s">
        <v>79</v>
      </c>
      <c r="M21" s="26" t="s">
        <v>36</v>
      </c>
      <c r="Q21" s="28" t="str">
        <f aca="true" t="shared" si="12" ref="Q21:BE21">+Q61</f>
        <v>  |</v>
      </c>
      <c r="R21" s="28">
        <f t="shared" si="12"/>
      </c>
      <c r="S21" s="28">
        <f t="shared" si="12"/>
      </c>
      <c r="T21" s="28">
        <f t="shared" si="12"/>
      </c>
      <c r="U21" s="28">
        <f t="shared" si="12"/>
      </c>
      <c r="V21" s="28">
        <f t="shared" si="12"/>
      </c>
      <c r="W21" s="28">
        <f t="shared" si="12"/>
      </c>
      <c r="X21" s="28">
        <f t="shared" si="12"/>
      </c>
      <c r="Y21" s="28">
        <f t="shared" si="12"/>
      </c>
      <c r="Z21" s="28">
        <f t="shared" si="12"/>
      </c>
      <c r="AA21" s="28">
        <f t="shared" si="12"/>
      </c>
      <c r="AB21" s="28">
        <f t="shared" si="12"/>
      </c>
      <c r="AC21" s="28">
        <f t="shared" si="12"/>
      </c>
      <c r="AD21" s="28">
        <f t="shared" si="12"/>
      </c>
      <c r="AE21" s="28">
        <f t="shared" si="12"/>
      </c>
      <c r="AF21" s="28">
        <f t="shared" si="12"/>
      </c>
      <c r="AG21" s="28">
        <f t="shared" si="12"/>
      </c>
      <c r="AH21" s="28">
        <f t="shared" si="12"/>
      </c>
      <c r="AI21" s="28">
        <f t="shared" si="12"/>
      </c>
      <c r="AJ21" s="28">
        <f t="shared" si="12"/>
      </c>
      <c r="AK21" s="28" t="str">
        <f t="shared" si="12"/>
        <v>  |</v>
      </c>
      <c r="AL21" s="28">
        <f t="shared" si="12"/>
      </c>
      <c r="AM21" s="28">
        <f t="shared" si="12"/>
      </c>
      <c r="AN21" s="28">
        <f t="shared" si="12"/>
      </c>
      <c r="AO21" s="28">
        <f t="shared" si="12"/>
      </c>
      <c r="AP21" s="28">
        <f t="shared" si="12"/>
      </c>
      <c r="AQ21" s="28">
        <f t="shared" si="12"/>
      </c>
      <c r="AR21" s="28">
        <f t="shared" si="12"/>
      </c>
      <c r="AS21" s="28">
        <f t="shared" si="12"/>
      </c>
      <c r="AT21" s="28">
        <f t="shared" si="12"/>
      </c>
      <c r="AU21" s="28">
        <f t="shared" si="12"/>
      </c>
      <c r="AV21" s="28">
        <f t="shared" si="12"/>
      </c>
      <c r="AW21" s="28">
        <f t="shared" si="12"/>
      </c>
      <c r="AX21" s="28">
        <f t="shared" si="12"/>
      </c>
      <c r="AY21" s="28">
        <f t="shared" si="12"/>
      </c>
      <c r="AZ21" s="28">
        <f t="shared" si="12"/>
      </c>
      <c r="BA21" s="28">
        <f t="shared" si="12"/>
      </c>
      <c r="BB21" s="28">
        <f t="shared" si="12"/>
      </c>
      <c r="BC21" s="28">
        <f t="shared" si="12"/>
      </c>
      <c r="BD21" s="28">
        <f t="shared" si="12"/>
      </c>
      <c r="BE21" s="28" t="str">
        <f t="shared" si="12"/>
        <v>  |</v>
      </c>
      <c r="BI21" s="31"/>
      <c r="BJ21" s="24"/>
      <c r="BK21" s="24"/>
      <c r="BL21" s="12"/>
      <c r="BM21" s="10"/>
      <c r="BN21" s="54" t="s">
        <v>86</v>
      </c>
      <c r="BO21" s="54" t="str">
        <f t="shared" si="0"/>
        <v>----</v>
      </c>
      <c r="BP21" s="54" t="s">
        <v>86</v>
      </c>
      <c r="BQ21" s="10"/>
      <c r="BR21" s="24"/>
      <c r="BS21" s="24"/>
      <c r="BT21" s="24"/>
      <c r="BU21" s="11"/>
      <c r="BV21" s="3"/>
    </row>
    <row r="22" spans="2:74" ht="19.5" customHeight="1" thickBot="1">
      <c r="B22" s="28" t="s">
        <v>153</v>
      </c>
      <c r="C22" s="47" t="s">
        <v>19</v>
      </c>
      <c r="D22" s="29"/>
      <c r="E22" s="207">
        <v>10657864</v>
      </c>
      <c r="F22" s="22" t="s">
        <v>79</v>
      </c>
      <c r="J22" s="17"/>
      <c r="K22" s="215"/>
      <c r="L22" s="22" t="s">
        <v>79</v>
      </c>
      <c r="M22" s="26" t="s">
        <v>21</v>
      </c>
      <c r="O22" s="21" t="s">
        <v>93</v>
      </c>
      <c r="Q22" s="28" t="str">
        <f aca="true" t="shared" si="13" ref="Q22:BE22">+Q62</f>
        <v>  |</v>
      </c>
      <c r="R22" s="28">
        <f t="shared" si="13"/>
      </c>
      <c r="S22" s="28">
        <f t="shared" si="13"/>
      </c>
      <c r="T22" s="28">
        <f t="shared" si="13"/>
      </c>
      <c r="U22" s="28">
        <f t="shared" si="13"/>
      </c>
      <c r="V22" s="28">
        <f t="shared" si="13"/>
      </c>
      <c r="W22" s="28">
        <f t="shared" si="13"/>
      </c>
      <c r="X22" s="28">
        <f t="shared" si="13"/>
      </c>
      <c r="Y22" s="28">
        <f t="shared" si="13"/>
      </c>
      <c r="Z22" s="28">
        <f t="shared" si="13"/>
      </c>
      <c r="AA22" s="28">
        <f t="shared" si="13"/>
      </c>
      <c r="AB22" s="28">
        <f t="shared" si="13"/>
      </c>
      <c r="AC22" s="28">
        <f t="shared" si="13"/>
      </c>
      <c r="AD22" s="28">
        <f t="shared" si="13"/>
      </c>
      <c r="AE22" s="28">
        <f t="shared" si="13"/>
      </c>
      <c r="AF22" s="28">
        <f t="shared" si="13"/>
      </c>
      <c r="AG22" s="28">
        <f t="shared" si="13"/>
      </c>
      <c r="AH22" s="28">
        <f t="shared" si="13"/>
      </c>
      <c r="AI22" s="28">
        <f t="shared" si="13"/>
      </c>
      <c r="AJ22" s="28">
        <f t="shared" si="13"/>
      </c>
      <c r="AK22" s="28" t="str">
        <f t="shared" si="13"/>
        <v>  |</v>
      </c>
      <c r="AL22" s="28">
        <f t="shared" si="13"/>
      </c>
      <c r="AM22" s="28">
        <f t="shared" si="13"/>
      </c>
      <c r="AN22" s="28">
        <f t="shared" si="13"/>
      </c>
      <c r="AO22" s="28">
        <f t="shared" si="13"/>
      </c>
      <c r="AP22" s="28">
        <f t="shared" si="13"/>
      </c>
      <c r="AQ22" s="28">
        <f t="shared" si="13"/>
      </c>
      <c r="AR22" s="28">
        <f t="shared" si="13"/>
      </c>
      <c r="AS22" s="28">
        <f t="shared" si="13"/>
      </c>
      <c r="AT22" s="28">
        <f t="shared" si="13"/>
      </c>
      <c r="AU22" s="28">
        <f t="shared" si="13"/>
      </c>
      <c r="AV22" s="28">
        <f t="shared" si="13"/>
      </c>
      <c r="AW22" s="28">
        <f t="shared" si="13"/>
      </c>
      <c r="AX22" s="28">
        <f t="shared" si="13"/>
      </c>
      <c r="AY22" s="28">
        <f t="shared" si="13"/>
      </c>
      <c r="AZ22" s="28">
        <f t="shared" si="13"/>
      </c>
      <c r="BA22" s="28">
        <f t="shared" si="13"/>
      </c>
      <c r="BB22" s="28">
        <f t="shared" si="13"/>
      </c>
      <c r="BC22" s="28">
        <f t="shared" si="13"/>
      </c>
      <c r="BD22" s="28">
        <f t="shared" si="13"/>
      </c>
      <c r="BE22" s="28" t="str">
        <f t="shared" si="13"/>
        <v>  |</v>
      </c>
      <c r="BF22" s="3"/>
      <c r="BI22" s="31"/>
      <c r="BJ22" s="10"/>
      <c r="BK22" s="68" t="s">
        <v>148</v>
      </c>
      <c r="BL22" s="12" t="s">
        <v>34</v>
      </c>
      <c r="BM22" s="10"/>
      <c r="BN22" s="54" t="s">
        <v>86</v>
      </c>
      <c r="BO22" s="54" t="str">
        <f t="shared" si="0"/>
        <v>----</v>
      </c>
      <c r="BP22" s="54" t="s">
        <v>86</v>
      </c>
      <c r="BQ22" s="10"/>
      <c r="BR22" s="24"/>
      <c r="BS22" s="10" t="s">
        <v>35</v>
      </c>
      <c r="BT22" s="24"/>
      <c r="BU22" s="11"/>
      <c r="BV22" s="1"/>
    </row>
    <row r="23" spans="2:74" ht="19.5" customHeight="1">
      <c r="B23" s="28" t="s">
        <v>75</v>
      </c>
      <c r="C23" s="47" t="s">
        <v>4</v>
      </c>
      <c r="D23" s="29"/>
      <c r="E23" s="207">
        <v>11842751</v>
      </c>
      <c r="F23" s="22" t="s">
        <v>79</v>
      </c>
      <c r="G23" s="176"/>
      <c r="H23" s="161"/>
      <c r="I23" s="47"/>
      <c r="J23" s="17"/>
      <c r="K23" s="216"/>
      <c r="L23" s="22" t="s">
        <v>79</v>
      </c>
      <c r="M23" s="26" t="s">
        <v>43</v>
      </c>
      <c r="Q23" s="28" t="str">
        <f aca="true" t="shared" si="14" ref="Q23:BE23">+Q63</f>
        <v>  |</v>
      </c>
      <c r="R23" s="28">
        <f t="shared" si="14"/>
      </c>
      <c r="S23" s="28">
        <f t="shared" si="14"/>
      </c>
      <c r="T23" s="28">
        <f t="shared" si="14"/>
      </c>
      <c r="U23" s="28">
        <f t="shared" si="14"/>
      </c>
      <c r="V23" s="28">
        <f t="shared" si="14"/>
      </c>
      <c r="W23" s="28">
        <f t="shared" si="14"/>
      </c>
      <c r="X23" s="28">
        <f t="shared" si="14"/>
      </c>
      <c r="Y23" s="28">
        <f t="shared" si="14"/>
      </c>
      <c r="Z23" s="28">
        <f t="shared" si="14"/>
      </c>
      <c r="AA23" s="28">
        <f t="shared" si="14"/>
      </c>
      <c r="AB23" s="28">
        <f t="shared" si="14"/>
      </c>
      <c r="AC23" s="28">
        <f t="shared" si="14"/>
      </c>
      <c r="AD23" s="28">
        <f t="shared" si="14"/>
      </c>
      <c r="AE23" s="28">
        <f t="shared" si="14"/>
      </c>
      <c r="AF23" s="28">
        <f t="shared" si="14"/>
      </c>
      <c r="AG23" s="28">
        <f t="shared" si="14"/>
      </c>
      <c r="AH23" s="28">
        <f t="shared" si="14"/>
      </c>
      <c r="AI23" s="28">
        <f t="shared" si="14"/>
      </c>
      <c r="AJ23" s="28">
        <f t="shared" si="14"/>
      </c>
      <c r="AK23" s="28" t="str">
        <f t="shared" si="14"/>
        <v>  |</v>
      </c>
      <c r="AL23" s="28">
        <f t="shared" si="14"/>
      </c>
      <c r="AM23" s="28">
        <f t="shared" si="14"/>
      </c>
      <c r="AN23" s="28">
        <f t="shared" si="14"/>
      </c>
      <c r="AO23" s="28">
        <f t="shared" si="14"/>
      </c>
      <c r="AP23" s="28">
        <f t="shared" si="14"/>
      </c>
      <c r="AQ23" s="28">
        <f t="shared" si="14"/>
      </c>
      <c r="AR23" s="28">
        <f t="shared" si="14"/>
      </c>
      <c r="AS23" s="28">
        <f t="shared" si="14"/>
      </c>
      <c r="AT23" s="28">
        <f t="shared" si="14"/>
      </c>
      <c r="AU23" s="28">
        <f t="shared" si="14"/>
      </c>
      <c r="AV23" s="28">
        <f t="shared" si="14"/>
      </c>
      <c r="AW23" s="28">
        <f t="shared" si="14"/>
      </c>
      <c r="AX23" s="28">
        <f t="shared" si="14"/>
      </c>
      <c r="AY23" s="28">
        <f t="shared" si="14"/>
      </c>
      <c r="AZ23" s="28">
        <f t="shared" si="14"/>
      </c>
      <c r="BA23" s="28">
        <f t="shared" si="14"/>
      </c>
      <c r="BB23" s="28">
        <f t="shared" si="14"/>
      </c>
      <c r="BC23" s="28">
        <f t="shared" si="14"/>
      </c>
      <c r="BD23" s="28">
        <f t="shared" si="14"/>
      </c>
      <c r="BE23" s="28" t="str">
        <f t="shared" si="14"/>
        <v>  |</v>
      </c>
      <c r="BF23" s="3"/>
      <c r="BI23" s="31"/>
      <c r="BJ23" s="24"/>
      <c r="BK23" s="24"/>
      <c r="BL23" s="12"/>
      <c r="BM23" s="10"/>
      <c r="BN23" s="54" t="s">
        <v>86</v>
      </c>
      <c r="BO23" s="54" t="str">
        <f t="shared" si="0"/>
        <v>----</v>
      </c>
      <c r="BP23" s="54" t="s">
        <v>86</v>
      </c>
      <c r="BQ23" s="10"/>
      <c r="BR23" s="24"/>
      <c r="BS23" s="10"/>
      <c r="BT23" s="24"/>
      <c r="BU23" s="11"/>
      <c r="BV23" s="1"/>
    </row>
    <row r="24" spans="2:74" ht="19.5" customHeight="1">
      <c r="B24" s="28" t="s">
        <v>154</v>
      </c>
      <c r="C24" s="47" t="s">
        <v>23</v>
      </c>
      <c r="D24" s="29"/>
      <c r="E24" s="207">
        <v>15000</v>
      </c>
      <c r="F24" s="22" t="s">
        <v>79</v>
      </c>
      <c r="J24" s="17"/>
      <c r="K24" s="215"/>
      <c r="L24" s="22" t="s">
        <v>79</v>
      </c>
      <c r="M24" s="26" t="s">
        <v>45</v>
      </c>
      <c r="O24" s="21" t="s">
        <v>94</v>
      </c>
      <c r="Q24" s="28" t="str">
        <f aca="true" t="shared" si="15" ref="Q24:BE24">+Q64</f>
        <v>  |</v>
      </c>
      <c r="R24" s="28">
        <f t="shared" si="15"/>
      </c>
      <c r="S24" s="28">
        <f t="shared" si="15"/>
      </c>
      <c r="T24" s="28">
        <f t="shared" si="15"/>
      </c>
      <c r="U24" s="28">
        <f t="shared" si="15"/>
      </c>
      <c r="V24" s="28">
        <f t="shared" si="15"/>
      </c>
      <c r="W24" s="28">
        <f t="shared" si="15"/>
      </c>
      <c r="X24" s="28">
        <f t="shared" si="15"/>
      </c>
      <c r="Y24" s="28">
        <f t="shared" si="15"/>
      </c>
      <c r="Z24" s="28">
        <f t="shared" si="15"/>
      </c>
      <c r="AA24" s="28">
        <f t="shared" si="15"/>
      </c>
      <c r="AB24" s="28">
        <f t="shared" si="15"/>
      </c>
      <c r="AC24" s="28">
        <f t="shared" si="15"/>
      </c>
      <c r="AD24" s="28">
        <f t="shared" si="15"/>
      </c>
      <c r="AE24" s="28">
        <f t="shared" si="15"/>
      </c>
      <c r="AF24" s="28">
        <f t="shared" si="15"/>
      </c>
      <c r="AG24" s="28">
        <f t="shared" si="15"/>
      </c>
      <c r="AH24" s="28">
        <f t="shared" si="15"/>
      </c>
      <c r="AI24" s="28">
        <f t="shared" si="15"/>
      </c>
      <c r="AJ24" s="28">
        <f t="shared" si="15"/>
      </c>
      <c r="AK24" s="28" t="str">
        <f t="shared" si="15"/>
        <v>  |</v>
      </c>
      <c r="AL24" s="28">
        <f t="shared" si="15"/>
      </c>
      <c r="AM24" s="28">
        <f t="shared" si="15"/>
      </c>
      <c r="AN24" s="28">
        <f t="shared" si="15"/>
      </c>
      <c r="AO24" s="28">
        <f t="shared" si="15"/>
      </c>
      <c r="AP24" s="28">
        <f t="shared" si="15"/>
      </c>
      <c r="AQ24" s="28">
        <f t="shared" si="15"/>
      </c>
      <c r="AR24" s="28">
        <f t="shared" si="15"/>
      </c>
      <c r="AS24" s="28">
        <f t="shared" si="15"/>
      </c>
      <c r="AT24" s="28">
        <f t="shared" si="15"/>
      </c>
      <c r="AU24" s="28">
        <f t="shared" si="15"/>
      </c>
      <c r="AV24" s="28">
        <f t="shared" si="15"/>
      </c>
      <c r="AW24" s="28">
        <f t="shared" si="15"/>
      </c>
      <c r="AX24" s="28">
        <f t="shared" si="15"/>
      </c>
      <c r="AY24" s="28">
        <f t="shared" si="15"/>
      </c>
      <c r="AZ24" s="28">
        <f t="shared" si="15"/>
      </c>
      <c r="BA24" s="28">
        <f t="shared" si="15"/>
      </c>
      <c r="BB24" s="28">
        <f t="shared" si="15"/>
      </c>
      <c r="BC24" s="28">
        <f t="shared" si="15"/>
      </c>
      <c r="BD24" s="28">
        <f t="shared" si="15"/>
      </c>
      <c r="BE24" s="28" t="str">
        <f t="shared" si="15"/>
        <v>  |</v>
      </c>
      <c r="BF24" s="3"/>
      <c r="BI24" s="31"/>
      <c r="BJ24" s="24" t="s">
        <v>5</v>
      </c>
      <c r="BK24" s="24"/>
      <c r="BL24" s="12" t="s">
        <v>37</v>
      </c>
      <c r="BM24" s="10"/>
      <c r="BN24" s="54" t="s">
        <v>86</v>
      </c>
      <c r="BO24" s="54" t="str">
        <f t="shared" si="0"/>
        <v>----</v>
      </c>
      <c r="BP24" s="54" t="s">
        <v>86</v>
      </c>
      <c r="BQ24" s="10"/>
      <c r="BR24" s="24"/>
      <c r="BS24" s="10"/>
      <c r="BT24" s="24"/>
      <c r="BU24" s="11"/>
      <c r="BV24" s="1"/>
    </row>
    <row r="25" spans="2:74" ht="19.5" customHeight="1" thickBot="1">
      <c r="B25" s="28" t="s">
        <v>82</v>
      </c>
      <c r="C25" s="47" t="s">
        <v>247</v>
      </c>
      <c r="D25" s="29"/>
      <c r="E25" s="208">
        <v>26373887</v>
      </c>
      <c r="F25" s="22" t="s">
        <v>79</v>
      </c>
      <c r="G25" s="176"/>
      <c r="H25" s="161"/>
      <c r="I25" s="47"/>
      <c r="J25" s="17"/>
      <c r="K25" s="216"/>
      <c r="L25" s="22" t="s">
        <v>79</v>
      </c>
      <c r="Q25" s="28" t="str">
        <f aca="true" t="shared" si="16" ref="Q25:BE25">+Q65</f>
        <v>  |</v>
      </c>
      <c r="R25" s="28">
        <f t="shared" si="16"/>
      </c>
      <c r="S25" s="28">
        <f t="shared" si="16"/>
      </c>
      <c r="T25" s="28">
        <f t="shared" si="16"/>
      </c>
      <c r="U25" s="28">
        <f t="shared" si="16"/>
      </c>
      <c r="V25" s="28">
        <f t="shared" si="16"/>
      </c>
      <c r="W25" s="28">
        <f t="shared" si="16"/>
      </c>
      <c r="X25" s="28">
        <f t="shared" si="16"/>
      </c>
      <c r="Y25" s="28">
        <f t="shared" si="16"/>
      </c>
      <c r="Z25" s="28">
        <f t="shared" si="16"/>
      </c>
      <c r="AA25" s="28">
        <f t="shared" si="16"/>
      </c>
      <c r="AB25" s="28">
        <f t="shared" si="16"/>
      </c>
      <c r="AC25" s="28">
        <f t="shared" si="16"/>
      </c>
      <c r="AD25" s="28">
        <f t="shared" si="16"/>
      </c>
      <c r="AE25" s="28">
        <f t="shared" si="16"/>
      </c>
      <c r="AF25" s="28">
        <f t="shared" si="16"/>
      </c>
      <c r="AG25" s="28">
        <f t="shared" si="16"/>
      </c>
      <c r="AH25" s="28">
        <f t="shared" si="16"/>
      </c>
      <c r="AI25" s="28">
        <f t="shared" si="16"/>
      </c>
      <c r="AJ25" s="28">
        <f t="shared" si="16"/>
      </c>
      <c r="AK25" s="28" t="str">
        <f t="shared" si="16"/>
        <v>  |</v>
      </c>
      <c r="AL25" s="28">
        <f t="shared" si="16"/>
      </c>
      <c r="AM25" s="28">
        <f t="shared" si="16"/>
      </c>
      <c r="AN25" s="28">
        <f t="shared" si="16"/>
      </c>
      <c r="AO25" s="28">
        <f t="shared" si="16"/>
      </c>
      <c r="AP25" s="28">
        <f t="shared" si="16"/>
      </c>
      <c r="AQ25" s="28">
        <f t="shared" si="16"/>
      </c>
      <c r="AR25" s="28">
        <f t="shared" si="16"/>
      </c>
      <c r="AS25" s="28">
        <f t="shared" si="16"/>
      </c>
      <c r="AT25" s="28">
        <f t="shared" si="16"/>
      </c>
      <c r="AU25" s="28">
        <f t="shared" si="16"/>
      </c>
      <c r="AV25" s="28">
        <f t="shared" si="16"/>
      </c>
      <c r="AW25" s="28">
        <f t="shared" si="16"/>
      </c>
      <c r="AX25" s="28">
        <f t="shared" si="16"/>
      </c>
      <c r="AY25" s="28">
        <f t="shared" si="16"/>
      </c>
      <c r="AZ25" s="28">
        <f t="shared" si="16"/>
      </c>
      <c r="BA25" s="28">
        <f t="shared" si="16"/>
      </c>
      <c r="BB25" s="28">
        <f t="shared" si="16"/>
      </c>
      <c r="BC25" s="28">
        <f t="shared" si="16"/>
      </c>
      <c r="BD25" s="28">
        <f t="shared" si="16"/>
      </c>
      <c r="BE25" s="28" t="str">
        <f t="shared" si="16"/>
        <v>  |</v>
      </c>
      <c r="BF25" s="3"/>
      <c r="BI25" s="31"/>
      <c r="BJ25" s="10"/>
      <c r="BK25" s="24"/>
      <c r="BL25" s="12"/>
      <c r="BM25" s="10"/>
      <c r="BN25" s="54" t="s">
        <v>86</v>
      </c>
      <c r="BO25" s="54" t="str">
        <f t="shared" si="0"/>
        <v>----</v>
      </c>
      <c r="BP25" s="54" t="s">
        <v>86</v>
      </c>
      <c r="BQ25" s="10"/>
      <c r="BR25" s="24"/>
      <c r="BS25" s="10"/>
      <c r="BT25" s="24"/>
      <c r="BU25" s="11"/>
      <c r="BV25" s="1"/>
    </row>
    <row r="26" spans="2:74" ht="19.5" customHeight="1" thickBot="1">
      <c r="B26" s="169" t="s">
        <v>140</v>
      </c>
      <c r="C26" s="66" t="s">
        <v>141</v>
      </c>
      <c r="D26" s="65" t="s">
        <v>212</v>
      </c>
      <c r="E26" s="214"/>
      <c r="F26" s="22" t="s">
        <v>79</v>
      </c>
      <c r="G26" s="160"/>
      <c r="H26" s="158" t="s">
        <v>69</v>
      </c>
      <c r="I26" s="66" t="s">
        <v>258</v>
      </c>
      <c r="J26" s="163" t="s">
        <v>213</v>
      </c>
      <c r="K26" s="217"/>
      <c r="L26" s="22" t="s">
        <v>79</v>
      </c>
      <c r="O26" s="21" t="s">
        <v>95</v>
      </c>
      <c r="Q26" s="28" t="str">
        <f aca="true" t="shared" si="17" ref="Q26:BE26">+Q66</f>
        <v>  |</v>
      </c>
      <c r="R26" s="28">
        <f t="shared" si="17"/>
      </c>
      <c r="S26" s="28">
        <f t="shared" si="17"/>
      </c>
      <c r="T26" s="28">
        <f t="shared" si="17"/>
      </c>
      <c r="U26" s="28">
        <f t="shared" si="17"/>
      </c>
      <c r="V26" s="28">
        <f t="shared" si="17"/>
      </c>
      <c r="W26" s="28">
        <f t="shared" si="17"/>
      </c>
      <c r="X26" s="28">
        <f t="shared" si="17"/>
      </c>
      <c r="Y26" s="28">
        <f t="shared" si="17"/>
      </c>
      <c r="Z26" s="28">
        <f t="shared" si="17"/>
      </c>
      <c r="AA26" s="28">
        <f t="shared" si="17"/>
      </c>
      <c r="AB26" s="28">
        <f t="shared" si="17"/>
      </c>
      <c r="AC26" s="28">
        <f t="shared" si="17"/>
      </c>
      <c r="AD26" s="28">
        <f t="shared" si="17"/>
      </c>
      <c r="AE26" s="28">
        <f t="shared" si="17"/>
      </c>
      <c r="AF26" s="28">
        <f t="shared" si="17"/>
      </c>
      <c r="AG26" s="28">
        <f t="shared" si="17"/>
      </c>
      <c r="AH26" s="28">
        <f t="shared" si="17"/>
      </c>
      <c r="AI26" s="28">
        <f t="shared" si="17"/>
      </c>
      <c r="AJ26" s="28">
        <f t="shared" si="17"/>
      </c>
      <c r="AK26" s="28" t="str">
        <f t="shared" si="17"/>
        <v>  |</v>
      </c>
      <c r="AL26" s="28">
        <f t="shared" si="17"/>
      </c>
      <c r="AM26" s="28">
        <f t="shared" si="17"/>
      </c>
      <c r="AN26" s="28">
        <f t="shared" si="17"/>
      </c>
      <c r="AO26" s="28">
        <f t="shared" si="17"/>
      </c>
      <c r="AP26" s="28">
        <f t="shared" si="17"/>
      </c>
      <c r="AQ26" s="28">
        <f t="shared" si="17"/>
      </c>
      <c r="AR26" s="28">
        <f t="shared" si="17"/>
      </c>
      <c r="AS26" s="28">
        <f t="shared" si="17"/>
      </c>
      <c r="AT26" s="28">
        <f t="shared" si="17"/>
      </c>
      <c r="AU26" s="28">
        <f t="shared" si="17"/>
      </c>
      <c r="AV26" s="28">
        <f t="shared" si="17"/>
      </c>
      <c r="AW26" s="28">
        <f t="shared" si="17"/>
      </c>
      <c r="AX26" s="28">
        <f t="shared" si="17"/>
      </c>
      <c r="AY26" s="28">
        <f t="shared" si="17"/>
      </c>
      <c r="AZ26" s="28">
        <f t="shared" si="17"/>
      </c>
      <c r="BA26" s="28">
        <f t="shared" si="17"/>
      </c>
      <c r="BB26" s="28">
        <f t="shared" si="17"/>
      </c>
      <c r="BC26" s="28">
        <f t="shared" si="17"/>
      </c>
      <c r="BD26" s="28">
        <f t="shared" si="17"/>
      </c>
      <c r="BE26" s="28" t="str">
        <f t="shared" si="17"/>
        <v>  |</v>
      </c>
      <c r="BF26" s="3"/>
      <c r="BI26" s="31"/>
      <c r="BJ26" s="10" t="s">
        <v>10</v>
      </c>
      <c r="BK26" s="24"/>
      <c r="BL26" s="12" t="s">
        <v>40</v>
      </c>
      <c r="BM26" s="10"/>
      <c r="BN26" s="54" t="s">
        <v>86</v>
      </c>
      <c r="BO26" s="54" t="str">
        <f t="shared" si="0"/>
        <v>----</v>
      </c>
      <c r="BP26" s="54" t="s">
        <v>86</v>
      </c>
      <c r="BQ26" s="10"/>
      <c r="BR26" s="24"/>
      <c r="BS26" s="10" t="s">
        <v>41</v>
      </c>
      <c r="BT26" s="24"/>
      <c r="BU26" s="11"/>
      <c r="BV26" s="1"/>
    </row>
    <row r="27" spans="2:74" ht="19.5" customHeight="1">
      <c r="B27" s="28" t="s">
        <v>83</v>
      </c>
      <c r="C27" s="47" t="s">
        <v>142</v>
      </c>
      <c r="D27" s="40" t="s">
        <v>144</v>
      </c>
      <c r="E27" s="206">
        <v>23950102</v>
      </c>
      <c r="F27" s="22" t="s">
        <v>79</v>
      </c>
      <c r="G27" s="175"/>
      <c r="H27" s="162" t="s">
        <v>71</v>
      </c>
      <c r="I27" s="47" t="s">
        <v>72</v>
      </c>
      <c r="J27" s="29" t="s">
        <v>254</v>
      </c>
      <c r="K27" s="207">
        <v>0</v>
      </c>
      <c r="L27" s="19" t="s">
        <v>79</v>
      </c>
      <c r="Q27" s="28" t="str">
        <f aca="true" t="shared" si="18" ref="Q27:BE27">+Q67</f>
        <v>  |</v>
      </c>
      <c r="R27" s="28">
        <f t="shared" si="18"/>
      </c>
      <c r="S27" s="28">
        <f t="shared" si="18"/>
      </c>
      <c r="T27" s="28">
        <f t="shared" si="18"/>
      </c>
      <c r="U27" s="28">
        <f t="shared" si="18"/>
      </c>
      <c r="V27" s="28">
        <f t="shared" si="18"/>
      </c>
      <c r="W27" s="28">
        <f t="shared" si="18"/>
      </c>
      <c r="X27" s="28">
        <f t="shared" si="18"/>
      </c>
      <c r="Y27" s="28">
        <f t="shared" si="18"/>
      </c>
      <c r="Z27" s="28">
        <f t="shared" si="18"/>
      </c>
      <c r="AA27" s="28">
        <f t="shared" si="18"/>
      </c>
      <c r="AB27" s="28">
        <f t="shared" si="18"/>
      </c>
      <c r="AC27" s="28">
        <f t="shared" si="18"/>
      </c>
      <c r="AD27" s="28">
        <f t="shared" si="18"/>
      </c>
      <c r="AE27" s="28">
        <f t="shared" si="18"/>
      </c>
      <c r="AF27" s="28">
        <f t="shared" si="18"/>
      </c>
      <c r="AG27" s="28">
        <f t="shared" si="18"/>
      </c>
      <c r="AH27" s="28">
        <f t="shared" si="18"/>
      </c>
      <c r="AI27" s="28">
        <f t="shared" si="18"/>
      </c>
      <c r="AJ27" s="28">
        <f t="shared" si="18"/>
      </c>
      <c r="AK27" s="28" t="str">
        <f t="shared" si="18"/>
        <v>  |</v>
      </c>
      <c r="AL27" s="28">
        <f t="shared" si="18"/>
      </c>
      <c r="AM27" s="28">
        <f t="shared" si="18"/>
      </c>
      <c r="AN27" s="28">
        <f t="shared" si="18"/>
      </c>
      <c r="AO27" s="28">
        <f t="shared" si="18"/>
      </c>
      <c r="AP27" s="28">
        <f t="shared" si="18"/>
      </c>
      <c r="AQ27" s="28">
        <f t="shared" si="18"/>
      </c>
      <c r="AR27" s="28">
        <f t="shared" si="18"/>
      </c>
      <c r="AS27" s="28">
        <f t="shared" si="18"/>
      </c>
      <c r="AT27" s="28">
        <f t="shared" si="18"/>
      </c>
      <c r="AU27" s="28">
        <f t="shared" si="18"/>
      </c>
      <c r="AV27" s="28">
        <f t="shared" si="18"/>
      </c>
      <c r="AW27" s="28">
        <f t="shared" si="18"/>
      </c>
      <c r="AX27" s="28">
        <f t="shared" si="18"/>
      </c>
      <c r="AY27" s="28">
        <f t="shared" si="18"/>
      </c>
      <c r="AZ27" s="28">
        <f t="shared" si="18"/>
      </c>
      <c r="BA27" s="28">
        <f t="shared" si="18"/>
      </c>
      <c r="BB27" s="28">
        <f t="shared" si="18"/>
      </c>
      <c r="BC27" s="28">
        <f t="shared" si="18"/>
      </c>
      <c r="BD27" s="28">
        <f t="shared" si="18"/>
      </c>
      <c r="BE27" s="28" t="str">
        <f t="shared" si="18"/>
        <v>  |</v>
      </c>
      <c r="BF27" s="3"/>
      <c r="BI27" s="31"/>
      <c r="BJ27" s="24"/>
      <c r="BK27" s="24"/>
      <c r="BL27" s="12"/>
      <c r="BM27" s="10"/>
      <c r="BN27" s="54" t="s">
        <v>86</v>
      </c>
      <c r="BO27" s="54" t="str">
        <f t="shared" si="0"/>
        <v>22</v>
      </c>
      <c r="BP27" s="54" t="s">
        <v>86</v>
      </c>
      <c r="BQ27" s="10"/>
      <c r="BR27" s="10"/>
      <c r="BS27" s="10"/>
      <c r="BT27" s="24"/>
      <c r="BU27" s="11"/>
      <c r="BV27" s="1"/>
    </row>
    <row r="28" spans="2:73" ht="19.5" customHeight="1">
      <c r="B28" s="28" t="s">
        <v>261</v>
      </c>
      <c r="C28" s="47" t="s">
        <v>262</v>
      </c>
      <c r="E28" s="209">
        <v>1655037</v>
      </c>
      <c r="H28" s="162" t="s">
        <v>161</v>
      </c>
      <c r="I28" s="47" t="s">
        <v>70</v>
      </c>
      <c r="J28" s="29" t="s">
        <v>254</v>
      </c>
      <c r="K28" s="207">
        <v>0</v>
      </c>
      <c r="O28" s="21" t="s">
        <v>96</v>
      </c>
      <c r="Q28" s="28" t="str">
        <f aca="true" t="shared" si="19" ref="Q28:BE28">+Q68</f>
        <v>  |</v>
      </c>
      <c r="R28" s="28">
        <f t="shared" si="19"/>
      </c>
      <c r="S28" s="28">
        <f t="shared" si="19"/>
      </c>
      <c r="T28" s="28">
        <f t="shared" si="19"/>
      </c>
      <c r="U28" s="28">
        <f t="shared" si="19"/>
      </c>
      <c r="V28" s="28">
        <f t="shared" si="19"/>
      </c>
      <c r="W28" s="28">
        <f t="shared" si="19"/>
      </c>
      <c r="X28" s="28">
        <f t="shared" si="19"/>
      </c>
      <c r="Y28" s="28">
        <f t="shared" si="19"/>
      </c>
      <c r="Z28" s="28">
        <f t="shared" si="19"/>
      </c>
      <c r="AA28" s="28">
        <f t="shared" si="19"/>
      </c>
      <c r="AB28" s="28">
        <f t="shared" si="19"/>
      </c>
      <c r="AC28" s="28">
        <f t="shared" si="19"/>
      </c>
      <c r="AD28" s="28">
        <f t="shared" si="19"/>
      </c>
      <c r="AE28" s="28">
        <f t="shared" si="19"/>
      </c>
      <c r="AF28" s="28">
        <f t="shared" si="19"/>
      </c>
      <c r="AG28" s="28">
        <f t="shared" si="19"/>
      </c>
      <c r="AH28" s="28">
        <f t="shared" si="19"/>
      </c>
      <c r="AI28" s="28">
        <f t="shared" si="19"/>
      </c>
      <c r="AJ28" s="28">
        <f t="shared" si="19"/>
      </c>
      <c r="AK28" s="28" t="str">
        <f t="shared" si="19"/>
        <v>  |</v>
      </c>
      <c r="AL28" s="28">
        <f t="shared" si="19"/>
      </c>
      <c r="AM28" s="28">
        <f t="shared" si="19"/>
      </c>
      <c r="AN28" s="28">
        <f t="shared" si="19"/>
      </c>
      <c r="AO28" s="28">
        <f t="shared" si="19"/>
      </c>
      <c r="AP28" s="28">
        <f t="shared" si="19"/>
      </c>
      <c r="AQ28" s="28">
        <f t="shared" si="19"/>
      </c>
      <c r="AR28" s="28">
        <f t="shared" si="19"/>
      </c>
      <c r="AS28" s="28">
        <f t="shared" si="19"/>
      </c>
      <c r="AT28" s="28">
        <f t="shared" si="19"/>
      </c>
      <c r="AU28" s="28">
        <f t="shared" si="19"/>
      </c>
      <c r="AV28" s="28">
        <f t="shared" si="19"/>
      </c>
      <c r="AW28" s="28">
        <f t="shared" si="19"/>
      </c>
      <c r="AX28" s="28">
        <f t="shared" si="19"/>
      </c>
      <c r="AY28" s="28">
        <f t="shared" si="19"/>
      </c>
      <c r="AZ28" s="28">
        <f t="shared" si="19"/>
      </c>
      <c r="BA28" s="28">
        <f t="shared" si="19"/>
      </c>
      <c r="BB28" s="28">
        <f t="shared" si="19"/>
      </c>
      <c r="BC28" s="28">
        <f t="shared" si="19"/>
      </c>
      <c r="BD28" s="28">
        <f t="shared" si="19"/>
      </c>
      <c r="BE28" s="28" t="str">
        <f t="shared" si="19"/>
        <v>  |</v>
      </c>
      <c r="BF28" s="3"/>
      <c r="BI28" s="31"/>
      <c r="BJ28" s="95" t="s">
        <v>15</v>
      </c>
      <c r="BK28" s="24"/>
      <c r="BL28" s="35" t="s">
        <v>44</v>
      </c>
      <c r="BM28" s="24"/>
      <c r="BN28" s="54" t="s">
        <v>86</v>
      </c>
      <c r="BO28" s="54" t="str">
        <f t="shared" si="0"/>
        <v>----</v>
      </c>
      <c r="BP28" s="54" t="s">
        <v>86</v>
      </c>
      <c r="BQ28" s="24"/>
      <c r="BR28" s="24"/>
      <c r="BS28" s="24"/>
      <c r="BT28" s="24"/>
      <c r="BU28" s="32"/>
    </row>
    <row r="29" spans="2:74" ht="19.5" customHeight="1">
      <c r="B29" s="28" t="s">
        <v>158</v>
      </c>
      <c r="C29" s="47" t="s">
        <v>132</v>
      </c>
      <c r="D29" s="29"/>
      <c r="E29" s="207">
        <v>416008</v>
      </c>
      <c r="F29" s="22" t="s">
        <v>79</v>
      </c>
      <c r="G29" s="175"/>
      <c r="H29" s="162" t="s">
        <v>162</v>
      </c>
      <c r="I29" s="47" t="s">
        <v>214</v>
      </c>
      <c r="J29" s="29" t="s">
        <v>255</v>
      </c>
      <c r="K29" s="210">
        <v>310</v>
      </c>
      <c r="L29" s="22" t="s">
        <v>79</v>
      </c>
      <c r="Q29" s="28" t="str">
        <f aca="true" t="shared" si="20" ref="Q29:BE29">+Q69</f>
        <v>  |</v>
      </c>
      <c r="R29" s="28">
        <f t="shared" si="20"/>
      </c>
      <c r="S29" s="28">
        <f t="shared" si="20"/>
      </c>
      <c r="T29" s="28">
        <f t="shared" si="20"/>
      </c>
      <c r="U29" s="28">
        <f t="shared" si="20"/>
      </c>
      <c r="V29" s="28">
        <f t="shared" si="20"/>
      </c>
      <c r="W29" s="28">
        <f t="shared" si="20"/>
      </c>
      <c r="X29" s="28">
        <f t="shared" si="20"/>
      </c>
      <c r="Y29" s="28">
        <f t="shared" si="20"/>
      </c>
      <c r="Z29" s="28">
        <f t="shared" si="20"/>
      </c>
      <c r="AA29" s="28">
        <f t="shared" si="20"/>
      </c>
      <c r="AB29" s="28">
        <f t="shared" si="20"/>
      </c>
      <c r="AC29" s="28">
        <f t="shared" si="20"/>
      </c>
      <c r="AD29" s="28">
        <f t="shared" si="20"/>
      </c>
      <c r="AE29" s="28">
        <f t="shared" si="20"/>
      </c>
      <c r="AF29" s="28">
        <f t="shared" si="20"/>
      </c>
      <c r="AG29" s="28">
        <f t="shared" si="20"/>
      </c>
      <c r="AH29" s="28">
        <f t="shared" si="20"/>
      </c>
      <c r="AI29" s="28">
        <f t="shared" si="20"/>
      </c>
      <c r="AJ29" s="28">
        <f t="shared" si="20"/>
      </c>
      <c r="AK29" s="28" t="str">
        <f t="shared" si="20"/>
        <v>  |</v>
      </c>
      <c r="AL29" s="28">
        <f t="shared" si="20"/>
      </c>
      <c r="AM29" s="28">
        <f t="shared" si="20"/>
      </c>
      <c r="AN29" s="28">
        <f t="shared" si="20"/>
      </c>
      <c r="AO29" s="28">
        <f t="shared" si="20"/>
      </c>
      <c r="AP29" s="28">
        <f t="shared" si="20"/>
      </c>
      <c r="AQ29" s="28">
        <f t="shared" si="20"/>
      </c>
      <c r="AR29" s="28">
        <f t="shared" si="20"/>
      </c>
      <c r="AS29" s="28">
        <f t="shared" si="20"/>
      </c>
      <c r="AT29" s="28">
        <f t="shared" si="20"/>
      </c>
      <c r="AU29" s="28">
        <f t="shared" si="20"/>
      </c>
      <c r="AV29" s="28">
        <f t="shared" si="20"/>
      </c>
      <c r="AW29" s="28">
        <f t="shared" si="20"/>
      </c>
      <c r="AX29" s="28">
        <f t="shared" si="20"/>
      </c>
      <c r="AY29" s="28">
        <f t="shared" si="20"/>
      </c>
      <c r="AZ29" s="28">
        <f t="shared" si="20"/>
      </c>
      <c r="BA29" s="28">
        <f t="shared" si="20"/>
      </c>
      <c r="BB29" s="28">
        <f t="shared" si="20"/>
      </c>
      <c r="BC29" s="28">
        <f t="shared" si="20"/>
      </c>
      <c r="BD29" s="28">
        <f t="shared" si="20"/>
      </c>
      <c r="BE29" s="28" t="str">
        <f t="shared" si="20"/>
        <v>  |</v>
      </c>
      <c r="BF29" s="3"/>
      <c r="BI29" s="31"/>
      <c r="BL29" s="12"/>
      <c r="BM29" s="10"/>
      <c r="BN29" s="54" t="s">
        <v>86</v>
      </c>
      <c r="BO29" s="54" t="str">
        <f t="shared" si="0"/>
        <v>----</v>
      </c>
      <c r="BP29" s="54" t="s">
        <v>86</v>
      </c>
      <c r="BQ29" s="10"/>
      <c r="BR29" s="10"/>
      <c r="BS29" s="10"/>
      <c r="BT29" s="24"/>
      <c r="BU29" s="11"/>
      <c r="BV29" s="3"/>
    </row>
    <row r="30" spans="2:74" ht="19.5" customHeight="1">
      <c r="B30" s="28" t="s">
        <v>253</v>
      </c>
      <c r="C30" s="47" t="s">
        <v>220</v>
      </c>
      <c r="D30" s="22" t="s">
        <v>221</v>
      </c>
      <c r="E30" s="209">
        <v>25549067</v>
      </c>
      <c r="F30" s="22" t="s">
        <v>79</v>
      </c>
      <c r="G30" s="175"/>
      <c r="H30" s="162" t="s">
        <v>163</v>
      </c>
      <c r="I30" s="67" t="s">
        <v>215</v>
      </c>
      <c r="J30" s="29" t="s">
        <v>256</v>
      </c>
      <c r="K30" s="207">
        <v>0</v>
      </c>
      <c r="L30" s="22" t="s">
        <v>79</v>
      </c>
      <c r="O30" s="21" t="s">
        <v>97</v>
      </c>
      <c r="Q30" s="28" t="str">
        <f aca="true" t="shared" si="21" ref="Q30:BE30">+Q70</f>
        <v>--</v>
      </c>
      <c r="R30" s="28" t="str">
        <f t="shared" si="21"/>
        <v>--</v>
      </c>
      <c r="S30" s="28" t="str">
        <f t="shared" si="21"/>
        <v>--</v>
      </c>
      <c r="T30" s="28" t="str">
        <f t="shared" si="21"/>
        <v>--</v>
      </c>
      <c r="U30" s="28" t="str">
        <f t="shared" si="21"/>
        <v>--</v>
      </c>
      <c r="V30" s="28" t="str">
        <f t="shared" si="21"/>
        <v>--</v>
      </c>
      <c r="W30" s="28" t="str">
        <f t="shared" si="21"/>
        <v>--</v>
      </c>
      <c r="X30" s="28" t="str">
        <f t="shared" si="21"/>
        <v>--</v>
      </c>
      <c r="Y30" s="28" t="str">
        <f t="shared" si="21"/>
        <v>--</v>
      </c>
      <c r="Z30" s="28" t="str">
        <f t="shared" si="21"/>
        <v>--</v>
      </c>
      <c r="AA30" s="28" t="str">
        <f t="shared" si="21"/>
        <v>--</v>
      </c>
      <c r="AB30" s="28" t="str">
        <f t="shared" si="21"/>
        <v>--</v>
      </c>
      <c r="AC30" s="28" t="str">
        <f t="shared" si="21"/>
        <v>--</v>
      </c>
      <c r="AD30" s="28" t="str">
        <f t="shared" si="21"/>
        <v>--</v>
      </c>
      <c r="AE30" s="28" t="str">
        <f t="shared" si="21"/>
        <v>--</v>
      </c>
      <c r="AF30" s="28" t="str">
        <f t="shared" si="21"/>
        <v>--</v>
      </c>
      <c r="AG30" s="28" t="str">
        <f t="shared" si="21"/>
        <v>--</v>
      </c>
      <c r="AH30" s="28" t="str">
        <f t="shared" si="21"/>
        <v>--</v>
      </c>
      <c r="AI30" s="28" t="str">
        <f t="shared" si="21"/>
        <v>--</v>
      </c>
      <c r="AJ30" s="28" t="str">
        <f t="shared" si="21"/>
        <v>--</v>
      </c>
      <c r="AK30" s="28" t="str">
        <f t="shared" si="21"/>
        <v>--</v>
      </c>
      <c r="AL30" s="28" t="str">
        <f t="shared" si="21"/>
        <v>--</v>
      </c>
      <c r="AM30" s="28" t="str">
        <f t="shared" si="21"/>
        <v>--</v>
      </c>
      <c r="AN30" s="28" t="str">
        <f t="shared" si="21"/>
        <v>--</v>
      </c>
      <c r="AO30" s="28" t="str">
        <f t="shared" si="21"/>
        <v>--</v>
      </c>
      <c r="AP30" s="28" t="str">
        <f t="shared" si="21"/>
        <v>--</v>
      </c>
      <c r="AQ30" s="28" t="str">
        <f t="shared" si="21"/>
        <v>--</v>
      </c>
      <c r="AR30" s="28" t="str">
        <f t="shared" si="21"/>
        <v>--</v>
      </c>
      <c r="AS30" s="28" t="str">
        <f t="shared" si="21"/>
        <v>--</v>
      </c>
      <c r="AT30" s="28" t="str">
        <f t="shared" si="21"/>
        <v>--</v>
      </c>
      <c r="AU30" s="28" t="str">
        <f t="shared" si="21"/>
        <v>--</v>
      </c>
      <c r="AV30" s="28" t="str">
        <f t="shared" si="21"/>
        <v>--</v>
      </c>
      <c r="AW30" s="28" t="str">
        <f t="shared" si="21"/>
        <v>--</v>
      </c>
      <c r="AX30" s="28" t="str">
        <f t="shared" si="21"/>
        <v>--</v>
      </c>
      <c r="AY30" s="28" t="str">
        <f t="shared" si="21"/>
        <v>--</v>
      </c>
      <c r="AZ30" s="28" t="str">
        <f t="shared" si="21"/>
        <v>--</v>
      </c>
      <c r="BA30" s="28" t="str">
        <f t="shared" si="21"/>
        <v>--</v>
      </c>
      <c r="BB30" s="28" t="str">
        <f t="shared" si="21"/>
        <v>--</v>
      </c>
      <c r="BC30" s="28" t="str">
        <f t="shared" si="21"/>
        <v>--</v>
      </c>
      <c r="BD30" s="28" t="str">
        <f t="shared" si="21"/>
        <v>--</v>
      </c>
      <c r="BE30" s="28" t="str">
        <f t="shared" si="21"/>
        <v>--</v>
      </c>
      <c r="BF30" s="3"/>
      <c r="BI30" s="31"/>
      <c r="BJ30" s="18" t="s">
        <v>182</v>
      </c>
      <c r="BK30" s="24"/>
      <c r="BL30" s="12" t="s">
        <v>46</v>
      </c>
      <c r="BM30" s="10"/>
      <c r="BN30" s="54" t="s">
        <v>86</v>
      </c>
      <c r="BO30" s="54" t="str">
        <f t="shared" si="0"/>
        <v>----</v>
      </c>
      <c r="BP30" s="54" t="s">
        <v>86</v>
      </c>
      <c r="BQ30" s="10"/>
      <c r="BR30" s="10"/>
      <c r="BS30" s="10" t="s">
        <v>47</v>
      </c>
      <c r="BT30" s="24"/>
      <c r="BU30" s="11"/>
      <c r="BV30" s="3"/>
    </row>
    <row r="31" spans="2:74" ht="19.5" customHeight="1">
      <c r="B31" s="28" t="s">
        <v>85</v>
      </c>
      <c r="C31" s="67" t="s">
        <v>9</v>
      </c>
      <c r="D31" s="29" t="s">
        <v>143</v>
      </c>
      <c r="E31" s="207">
        <v>1577661</v>
      </c>
      <c r="F31" s="22" t="s">
        <v>79</v>
      </c>
      <c r="G31" s="175"/>
      <c r="H31" s="162" t="s">
        <v>77</v>
      </c>
      <c r="I31" s="47" t="s">
        <v>216</v>
      </c>
      <c r="J31" s="29" t="s">
        <v>147</v>
      </c>
      <c r="K31" s="207">
        <v>0</v>
      </c>
      <c r="L31" s="22" t="s">
        <v>79</v>
      </c>
      <c r="Q31" s="28" t="s">
        <v>98</v>
      </c>
      <c r="W31" s="34" t="s">
        <v>48</v>
      </c>
      <c r="AK31" s="28" t="s">
        <v>98</v>
      </c>
      <c r="AQ31" s="34" t="s">
        <v>49</v>
      </c>
      <c r="BE31" s="28" t="s">
        <v>98</v>
      </c>
      <c r="BF31" s="3"/>
      <c r="BI31" s="31"/>
      <c r="BJ31" s="10"/>
      <c r="BK31" s="24"/>
      <c r="BL31" s="12"/>
      <c r="BM31" s="10"/>
      <c r="BN31" s="54" t="s">
        <v>86</v>
      </c>
      <c r="BO31" s="54" t="str">
        <f t="shared" si="0"/>
        <v>----</v>
      </c>
      <c r="BP31" s="54" t="s">
        <v>86</v>
      </c>
      <c r="BQ31" s="10"/>
      <c r="BR31" s="10"/>
      <c r="BS31" s="10"/>
      <c r="BT31" s="24"/>
      <c r="BU31" s="11"/>
      <c r="BV31" s="3"/>
    </row>
    <row r="32" spans="2:74" ht="19.5" customHeight="1">
      <c r="B32" s="28" t="s">
        <v>159</v>
      </c>
      <c r="C32" s="67" t="s">
        <v>63</v>
      </c>
      <c r="D32" s="40" t="s">
        <v>145</v>
      </c>
      <c r="E32" s="207">
        <v>825833</v>
      </c>
      <c r="F32" s="22" t="s">
        <v>79</v>
      </c>
      <c r="G32" s="177"/>
      <c r="H32" s="162" t="s">
        <v>125</v>
      </c>
      <c r="I32" s="67" t="s">
        <v>217</v>
      </c>
      <c r="J32" s="40" t="s">
        <v>257</v>
      </c>
      <c r="K32" s="207">
        <v>0</v>
      </c>
      <c r="L32" s="22" t="s">
        <v>79</v>
      </c>
      <c r="P32" s="21" t="s">
        <v>2</v>
      </c>
      <c r="Q32" s="28" t="s">
        <v>98</v>
      </c>
      <c r="V32" s="28" t="s">
        <v>98</v>
      </c>
      <c r="AA32" s="28" t="s">
        <v>98</v>
      </c>
      <c r="AF32" s="28" t="s">
        <v>98</v>
      </c>
      <c r="AK32" s="28" t="s">
        <v>98</v>
      </c>
      <c r="AP32" s="28" t="s">
        <v>98</v>
      </c>
      <c r="AU32" s="28" t="s">
        <v>98</v>
      </c>
      <c r="AW32" s="3"/>
      <c r="AX32" s="3"/>
      <c r="AY32" s="3"/>
      <c r="AZ32" s="28" t="s">
        <v>98</v>
      </c>
      <c r="BB32" s="3"/>
      <c r="BC32" s="3"/>
      <c r="BD32" s="3"/>
      <c r="BE32" s="28" t="s">
        <v>98</v>
      </c>
      <c r="BF32" s="3"/>
      <c r="BI32" s="43" t="s">
        <v>127</v>
      </c>
      <c r="BJ32" s="10"/>
      <c r="BK32" s="24"/>
      <c r="BL32" s="12" t="s">
        <v>51</v>
      </c>
      <c r="BM32" s="10"/>
      <c r="BN32" s="54" t="s">
        <v>86</v>
      </c>
      <c r="BO32" s="54" t="str">
        <f t="shared" si="0"/>
        <v>----</v>
      </c>
      <c r="BP32" s="54" t="s">
        <v>86</v>
      </c>
      <c r="BQ32" s="10"/>
      <c r="BR32" s="44" t="s">
        <v>128</v>
      </c>
      <c r="BS32" s="13"/>
      <c r="BT32" s="13"/>
      <c r="BU32" s="14"/>
      <c r="BV32" s="3"/>
    </row>
    <row r="33" spans="2:74" ht="19.5" customHeight="1">
      <c r="B33" s="28" t="s">
        <v>84</v>
      </c>
      <c r="C33" s="47" t="s">
        <v>66</v>
      </c>
      <c r="D33" s="29"/>
      <c r="E33" s="207">
        <v>21759799</v>
      </c>
      <c r="F33" s="22" t="s">
        <v>79</v>
      </c>
      <c r="G33" s="175"/>
      <c r="K33" s="220"/>
      <c r="L33" s="19" t="s">
        <v>79</v>
      </c>
      <c r="Q33" s="22" t="s">
        <v>52</v>
      </c>
      <c r="V33" s="22" t="s">
        <v>99</v>
      </c>
      <c r="AA33" s="22" t="s">
        <v>53</v>
      </c>
      <c r="AE33" s="3"/>
      <c r="AF33" s="22" t="s">
        <v>100</v>
      </c>
      <c r="AK33" s="36" t="s">
        <v>54</v>
      </c>
      <c r="AP33" s="22" t="s">
        <v>101</v>
      </c>
      <c r="AU33" s="22" t="s">
        <v>102</v>
      </c>
      <c r="AW33" s="3"/>
      <c r="AX33" s="3"/>
      <c r="AY33" s="3"/>
      <c r="AZ33" s="22" t="s">
        <v>103</v>
      </c>
      <c r="BB33" s="3"/>
      <c r="BC33" s="3"/>
      <c r="BD33" s="3"/>
      <c r="BE33" s="22" t="s">
        <v>104</v>
      </c>
      <c r="BF33" s="3"/>
      <c r="BI33" s="31"/>
      <c r="BJ33" s="10" t="s">
        <v>5</v>
      </c>
      <c r="BK33" s="24"/>
      <c r="BL33" s="12"/>
      <c r="BM33" s="10"/>
      <c r="BN33" s="54" t="s">
        <v>86</v>
      </c>
      <c r="BO33" s="54" t="str">
        <f t="shared" si="0"/>
        <v>----</v>
      </c>
      <c r="BP33" s="54" t="s">
        <v>86</v>
      </c>
      <c r="BQ33" s="10"/>
      <c r="BR33" s="24"/>
      <c r="BS33" s="10"/>
      <c r="BT33" s="24"/>
      <c r="BU33" s="11"/>
      <c r="BV33" s="3"/>
    </row>
    <row r="34" spans="2:74" ht="19.5" customHeight="1">
      <c r="B34" s="28" t="s">
        <v>160</v>
      </c>
      <c r="C34" s="47" t="s">
        <v>133</v>
      </c>
      <c r="D34" s="29"/>
      <c r="E34" s="207">
        <v>0</v>
      </c>
      <c r="F34" s="22" t="s">
        <v>79</v>
      </c>
      <c r="G34" s="175"/>
      <c r="H34" s="162"/>
      <c r="I34" s="47"/>
      <c r="J34" s="29"/>
      <c r="K34" s="216"/>
      <c r="L34" s="19" t="s">
        <v>79</v>
      </c>
      <c r="AR34" s="70"/>
      <c r="BI34" s="31"/>
      <c r="BJ34" s="10"/>
      <c r="BK34" s="24"/>
      <c r="BL34" s="12" t="s">
        <v>55</v>
      </c>
      <c r="BM34" s="10"/>
      <c r="BN34" s="54" t="s">
        <v>86</v>
      </c>
      <c r="BO34" s="54" t="str">
        <f t="shared" si="0"/>
        <v>----</v>
      </c>
      <c r="BP34" s="54" t="s">
        <v>86</v>
      </c>
      <c r="BQ34" s="10"/>
      <c r="BR34" s="24"/>
      <c r="BS34" s="10" t="s">
        <v>56</v>
      </c>
      <c r="BT34" s="24"/>
      <c r="BU34" s="11"/>
      <c r="BV34" s="3"/>
    </row>
    <row r="35" spans="2:74" ht="19.5" customHeight="1">
      <c r="B35" s="28" t="s">
        <v>197</v>
      </c>
      <c r="C35" s="67" t="s">
        <v>124</v>
      </c>
      <c r="D35" s="29"/>
      <c r="E35" s="207">
        <v>-1598965</v>
      </c>
      <c r="F35" s="22" t="s">
        <v>79</v>
      </c>
      <c r="G35" s="175"/>
      <c r="K35" s="220"/>
      <c r="L35" s="19" t="s">
        <v>79</v>
      </c>
      <c r="U35" s="69"/>
      <c r="AG35" s="21" t="s">
        <v>57</v>
      </c>
      <c r="AS35" s="3"/>
      <c r="AT35" s="3"/>
      <c r="AU35" s="3"/>
      <c r="AV35" s="3"/>
      <c r="AW35" s="3"/>
      <c r="AX35" s="3"/>
      <c r="AY35" s="3"/>
      <c r="AZ35" s="3"/>
      <c r="BA35" s="3"/>
      <c r="BB35" s="3"/>
      <c r="BC35" s="3"/>
      <c r="BD35" s="3"/>
      <c r="BE35" s="3"/>
      <c r="BF35" s="3"/>
      <c r="BI35" s="31"/>
      <c r="BJ35" s="10" t="s">
        <v>10</v>
      </c>
      <c r="BK35" s="24"/>
      <c r="BL35" s="12"/>
      <c r="BM35" s="10"/>
      <c r="BN35" s="54" t="s">
        <v>86</v>
      </c>
      <c r="BO35" s="54" t="str">
        <f t="shared" si="0"/>
        <v>----</v>
      </c>
      <c r="BP35" s="54" t="s">
        <v>86</v>
      </c>
      <c r="BQ35" s="10"/>
      <c r="BR35" s="24"/>
      <c r="BS35" s="10"/>
      <c r="BT35" s="24"/>
      <c r="BU35" s="11"/>
      <c r="BV35" s="3"/>
    </row>
    <row r="36" spans="2:74" ht="19.5" customHeight="1" thickBot="1">
      <c r="B36" s="28" t="s">
        <v>239</v>
      </c>
      <c r="C36" s="67" t="s">
        <v>67</v>
      </c>
      <c r="D36" s="40" t="s">
        <v>146</v>
      </c>
      <c r="E36" s="207">
        <v>0</v>
      </c>
      <c r="F36" s="22" t="s">
        <v>79</v>
      </c>
      <c r="G36" s="175"/>
      <c r="K36" s="220"/>
      <c r="L36" s="22" t="s">
        <v>79</v>
      </c>
      <c r="BI36" s="31"/>
      <c r="BJ36" s="10"/>
      <c r="BK36" s="24"/>
      <c r="BL36" s="12" t="s">
        <v>58</v>
      </c>
      <c r="BM36" s="10"/>
      <c r="BN36" s="54" t="s">
        <v>86</v>
      </c>
      <c r="BO36" s="54" t="str">
        <f t="shared" si="0"/>
        <v>----</v>
      </c>
      <c r="BP36" s="54" t="s">
        <v>86</v>
      </c>
      <c r="BQ36" s="10"/>
      <c r="BR36" s="24"/>
      <c r="BS36" s="10"/>
      <c r="BT36" s="24"/>
      <c r="BU36" s="11"/>
      <c r="BV36" s="3"/>
    </row>
    <row r="37" spans="2:74" ht="19.5" customHeight="1" thickBot="1">
      <c r="B37" s="28" t="s">
        <v>165</v>
      </c>
      <c r="C37" s="47" t="s">
        <v>68</v>
      </c>
      <c r="D37" s="29"/>
      <c r="E37" s="208">
        <v>-1610738</v>
      </c>
      <c r="F37" s="22" t="s">
        <v>79</v>
      </c>
      <c r="G37" s="175"/>
      <c r="K37" s="220"/>
      <c r="L37" s="19" t="s">
        <v>79</v>
      </c>
      <c r="N37" s="81"/>
      <c r="O37" s="231" t="s">
        <v>264</v>
      </c>
      <c r="P37" s="232"/>
      <c r="Q37" s="232"/>
      <c r="R37" s="232"/>
      <c r="S37" s="232"/>
      <c r="T37" s="232"/>
      <c r="U37" s="232"/>
      <c r="V37" s="232"/>
      <c r="W37" s="232"/>
      <c r="X37" s="232"/>
      <c r="Y37" s="232"/>
      <c r="Z37" s="232"/>
      <c r="AA37" s="232"/>
      <c r="AB37" s="232"/>
      <c r="AC37" s="232"/>
      <c r="AD37" s="232"/>
      <c r="AE37" s="232"/>
      <c r="AF37" s="232"/>
      <c r="AG37" s="232"/>
      <c r="AH37" s="232"/>
      <c r="AI37" s="82"/>
      <c r="AJ37" s="233" t="s">
        <v>265</v>
      </c>
      <c r="AK37" s="233"/>
      <c r="AL37" s="233"/>
      <c r="AM37" s="233"/>
      <c r="AN37" s="233"/>
      <c r="AO37" s="233"/>
      <c r="AP37" s="233"/>
      <c r="AQ37" s="233"/>
      <c r="AR37" s="233"/>
      <c r="AS37" s="233"/>
      <c r="AT37" s="82"/>
      <c r="AU37" s="231" t="s">
        <v>266</v>
      </c>
      <c r="AV37" s="231"/>
      <c r="AW37" s="231"/>
      <c r="AX37" s="231"/>
      <c r="AY37" s="231"/>
      <c r="AZ37" s="231"/>
      <c r="BA37" s="231"/>
      <c r="BB37" s="231"/>
      <c r="BC37" s="231"/>
      <c r="BD37" s="231"/>
      <c r="BE37" s="231"/>
      <c r="BF37" s="231"/>
      <c r="BG37" s="83"/>
      <c r="BI37" s="31"/>
      <c r="BJ37" s="10" t="s">
        <v>15</v>
      </c>
      <c r="BK37" s="24"/>
      <c r="BL37" s="12"/>
      <c r="BM37" s="10"/>
      <c r="BN37" s="54" t="s">
        <v>86</v>
      </c>
      <c r="BO37" s="54" t="str">
        <f t="shared" si="0"/>
        <v>----</v>
      </c>
      <c r="BP37" s="54" t="s">
        <v>86</v>
      </c>
      <c r="BQ37" s="10"/>
      <c r="BR37" s="24"/>
      <c r="BS37" s="10"/>
      <c r="BT37" s="24"/>
      <c r="BU37" s="11"/>
      <c r="BV37" s="3"/>
    </row>
    <row r="38" spans="5:74" ht="19.5" customHeight="1" thickBot="1">
      <c r="E38" s="218"/>
      <c r="F38" s="22" t="s">
        <v>79</v>
      </c>
      <c r="K38" s="218"/>
      <c r="L38" s="19" t="s">
        <v>79</v>
      </c>
      <c r="N38" s="58"/>
      <c r="O38" s="146" t="s">
        <v>166</v>
      </c>
      <c r="P38" s="97"/>
      <c r="Q38" s="97"/>
      <c r="R38" s="97"/>
      <c r="S38" s="97"/>
      <c r="T38" s="97"/>
      <c r="U38" s="265">
        <f>(E13+E14+E16)/E25*100</f>
        <v>9.13257116783734</v>
      </c>
      <c r="V38" s="265"/>
      <c r="W38" s="129" t="s">
        <v>62</v>
      </c>
      <c r="X38" s="92"/>
      <c r="Y38" s="146" t="s">
        <v>169</v>
      </c>
      <c r="Z38" s="97"/>
      <c r="AA38" s="97"/>
      <c r="AB38" s="97"/>
      <c r="AC38" s="97"/>
      <c r="AD38" s="97"/>
      <c r="AE38" s="97"/>
      <c r="AF38" s="257">
        <f>(K13+K16+K18)/E25*100</f>
        <v>79.86217200369441</v>
      </c>
      <c r="AG38" s="257"/>
      <c r="AH38" s="129" t="s">
        <v>62</v>
      </c>
      <c r="AI38" s="24"/>
      <c r="AJ38" s="81" t="s">
        <v>185</v>
      </c>
      <c r="AK38" s="82"/>
      <c r="AL38" s="82"/>
      <c r="AM38" s="249">
        <f>+E27-E29</f>
        <v>23534094</v>
      </c>
      <c r="AN38" s="249"/>
      <c r="AO38" s="249"/>
      <c r="AP38" s="249"/>
      <c r="AQ38" s="249"/>
      <c r="AR38" s="255" t="s">
        <v>184</v>
      </c>
      <c r="AS38" s="256"/>
      <c r="AT38" s="24"/>
      <c r="AU38" s="92" t="s">
        <v>175</v>
      </c>
      <c r="AV38" s="24"/>
      <c r="AW38" s="24"/>
      <c r="AX38" s="24"/>
      <c r="AY38" s="24"/>
      <c r="AZ38" s="24"/>
      <c r="BA38" s="258">
        <f aca="true" t="shared" si="22" ref="BA38:BA43">+J41</f>
        <v>-39.228627922763145</v>
      </c>
      <c r="BB38" s="258"/>
      <c r="BC38" s="258"/>
      <c r="BD38" s="60" t="s">
        <v>62</v>
      </c>
      <c r="BE38" s="228">
        <f aca="true" t="shared" si="23" ref="BE38:BE43">+K41</f>
        <v>-1.6938136964490669</v>
      </c>
      <c r="BF38" s="228"/>
      <c r="BG38" s="151"/>
      <c r="BI38" s="31"/>
      <c r="BJ38" s="10"/>
      <c r="BK38" s="24"/>
      <c r="BL38" s="12" t="s">
        <v>59</v>
      </c>
      <c r="BM38" s="10"/>
      <c r="BN38" s="54" t="s">
        <v>86</v>
      </c>
      <c r="BO38" s="54" t="str">
        <f t="shared" si="0"/>
        <v>----</v>
      </c>
      <c r="BP38" s="54" t="s">
        <v>86</v>
      </c>
      <c r="BQ38" s="10"/>
      <c r="BR38" s="24"/>
      <c r="BS38" s="10" t="s">
        <v>60</v>
      </c>
      <c r="BT38" s="24"/>
      <c r="BU38" s="11"/>
      <c r="BV38" s="3"/>
    </row>
    <row r="39" spans="2:87" ht="19.5" customHeight="1">
      <c r="B39" s="158" t="s">
        <v>198</v>
      </c>
      <c r="F39" s="22" t="s">
        <v>79</v>
      </c>
      <c r="H39" s="158" t="s">
        <v>203</v>
      </c>
      <c r="I39" s="41"/>
      <c r="L39" s="19" t="s">
        <v>79</v>
      </c>
      <c r="N39" s="58"/>
      <c r="O39" s="147" t="s">
        <v>167</v>
      </c>
      <c r="P39" s="92"/>
      <c r="Q39" s="92"/>
      <c r="R39" s="92"/>
      <c r="S39" s="90"/>
      <c r="T39" s="90"/>
      <c r="U39" s="263">
        <f>(E15-E16)/E25*100</f>
        <v>90.86742883216267</v>
      </c>
      <c r="V39" s="263"/>
      <c r="W39" s="127" t="s">
        <v>62</v>
      </c>
      <c r="X39" s="90"/>
      <c r="Y39" s="98"/>
      <c r="Z39" s="24"/>
      <c r="AA39" s="89"/>
      <c r="AB39" s="89"/>
      <c r="AC39" s="75"/>
      <c r="AD39" s="75"/>
      <c r="AE39" s="102" t="s">
        <v>259</v>
      </c>
      <c r="AF39" s="246">
        <f>+K13/E25*100</f>
        <v>79.86217200369441</v>
      </c>
      <c r="AG39" s="246"/>
      <c r="AH39" s="127" t="s">
        <v>62</v>
      </c>
      <c r="AI39" s="77"/>
      <c r="AJ39" s="149" t="s">
        <v>171</v>
      </c>
      <c r="AK39" s="91"/>
      <c r="AL39" s="92"/>
      <c r="AM39" s="91"/>
      <c r="AN39" s="93"/>
      <c r="AO39" s="93"/>
      <c r="AP39" s="93"/>
      <c r="AQ39" s="236">
        <f>+(E27-E29-E31-E32)/(E27-E29)*100</f>
        <v>89.7871827995588</v>
      </c>
      <c r="AR39" s="236"/>
      <c r="AS39" s="127" t="s">
        <v>62</v>
      </c>
      <c r="AT39" s="75"/>
      <c r="AU39" s="93" t="s">
        <v>260</v>
      </c>
      <c r="AV39" s="72"/>
      <c r="AW39" s="24"/>
      <c r="AX39" s="75"/>
      <c r="AY39" s="75"/>
      <c r="AZ39" s="75"/>
      <c r="BA39" s="258">
        <f t="shared" si="22"/>
        <v>0</v>
      </c>
      <c r="BB39" s="258"/>
      <c r="BC39" s="258"/>
      <c r="BD39" s="60" t="s">
        <v>62</v>
      </c>
      <c r="BE39" s="228">
        <f t="shared" si="23"/>
        <v>0</v>
      </c>
      <c r="BF39" s="228"/>
      <c r="BG39" s="151"/>
      <c r="BI39" s="31"/>
      <c r="BJ39" s="10" t="s">
        <v>20</v>
      </c>
      <c r="BK39" s="24"/>
      <c r="BL39" s="12"/>
      <c r="BM39" s="10"/>
      <c r="BN39" s="54" t="s">
        <v>86</v>
      </c>
      <c r="BO39" s="54" t="str">
        <f t="shared" si="0"/>
        <v>----</v>
      </c>
      <c r="BP39" s="54" t="s">
        <v>86</v>
      </c>
      <c r="BQ39" s="10"/>
      <c r="BR39" s="24"/>
      <c r="BS39" s="10"/>
      <c r="BT39" s="24"/>
      <c r="BU39" s="11"/>
      <c r="BV39" s="3"/>
      <c r="CI39" s="2"/>
    </row>
    <row r="40" spans="6:87" ht="19.5" customHeight="1" thickBot="1">
      <c r="F40" s="22" t="s">
        <v>79</v>
      </c>
      <c r="L40" s="19" t="s">
        <v>79</v>
      </c>
      <c r="N40" s="58"/>
      <c r="O40" s="98"/>
      <c r="P40" s="24"/>
      <c r="Q40" s="89"/>
      <c r="R40" s="89"/>
      <c r="S40" s="101" t="s">
        <v>168</v>
      </c>
      <c r="T40" s="24"/>
      <c r="U40" s="264">
        <f>(E22+E23)/E25*100</f>
        <v>85.31398879505323</v>
      </c>
      <c r="V40" s="264"/>
      <c r="W40" s="127" t="s">
        <v>62</v>
      </c>
      <c r="X40" s="74"/>
      <c r="Y40" s="148" t="s">
        <v>170</v>
      </c>
      <c r="Z40" s="74"/>
      <c r="AA40" s="92"/>
      <c r="AB40" s="92"/>
      <c r="AC40" s="59"/>
      <c r="AD40" s="79"/>
      <c r="AE40" s="79"/>
      <c r="AF40" s="236">
        <f>+(K19+K21)/E25*100</f>
        <v>20.137831787934786</v>
      </c>
      <c r="AG40" s="236"/>
      <c r="AH40" s="127" t="s">
        <v>62</v>
      </c>
      <c r="AI40" s="5"/>
      <c r="AJ40" s="147" t="s">
        <v>172</v>
      </c>
      <c r="AK40" s="76"/>
      <c r="AL40" s="92"/>
      <c r="AM40" s="76"/>
      <c r="AN40" s="76"/>
      <c r="AO40" s="92"/>
      <c r="AP40" s="92"/>
      <c r="AQ40" s="236">
        <f>+(E35-E29+E34)/(E27-E29)*100</f>
        <v>-8.561931468447437</v>
      </c>
      <c r="AR40" s="236"/>
      <c r="AS40" s="127" t="s">
        <v>62</v>
      </c>
      <c r="AT40" s="76"/>
      <c r="AU40" s="59" t="s">
        <v>176</v>
      </c>
      <c r="AV40" s="5"/>
      <c r="AW40" s="24"/>
      <c r="AX40" s="24"/>
      <c r="AY40" s="24"/>
      <c r="AZ40" s="76"/>
      <c r="BA40" s="258">
        <f t="shared" si="22"/>
        <v>49.416299159204236</v>
      </c>
      <c r="BB40" s="258"/>
      <c r="BC40" s="258"/>
      <c r="BD40" s="60" t="s">
        <v>62</v>
      </c>
      <c r="BE40" s="228">
        <f t="shared" si="23"/>
        <v>1.5653106921669535</v>
      </c>
      <c r="BF40" s="228"/>
      <c r="BG40" s="151"/>
      <c r="BI40" s="31"/>
      <c r="BJ40" s="10"/>
      <c r="BK40" s="24"/>
      <c r="BL40" s="12" t="s">
        <v>61</v>
      </c>
      <c r="BM40" s="10"/>
      <c r="BN40" s="54" t="s">
        <v>86</v>
      </c>
      <c r="BO40" s="54" t="str">
        <f t="shared" si="0"/>
        <v>----</v>
      </c>
      <c r="BP40" s="54" t="s">
        <v>86</v>
      </c>
      <c r="BQ40" s="10"/>
      <c r="BR40" s="24"/>
      <c r="BS40" s="10"/>
      <c r="BT40" s="24"/>
      <c r="BU40" s="11"/>
      <c r="BV40" s="3"/>
      <c r="CI40" s="2"/>
    </row>
    <row r="41" spans="2:87" ht="19.5" customHeight="1" thickBot="1">
      <c r="B41" s="164" t="s">
        <v>219</v>
      </c>
      <c r="C41" s="165">
        <f>+E35</f>
        <v>-1598965</v>
      </c>
      <c r="D41" s="164" t="s">
        <v>226</v>
      </c>
      <c r="E41" s="165">
        <f>((E13+E14+E15)+(+E13+E14+E16+E17+E20+E21+E22+E23+E24))/2</f>
        <v>26373887.5</v>
      </c>
      <c r="F41" s="22" t="s">
        <v>79</v>
      </c>
      <c r="G41" s="42"/>
      <c r="H41" s="81" t="s">
        <v>231</v>
      </c>
      <c r="I41" s="198">
        <f>IF(E25=0,0,(E37+K32+E36+K31)/I45*12/E25*100)</f>
        <v>-6.107321230275993</v>
      </c>
      <c r="J41" s="186">
        <f>IF(I44=0,0,(K14+K15)/E25*100)</f>
        <v>-39.228627922763145</v>
      </c>
      <c r="K41" s="187">
        <f>+J41*4.3178/100</f>
        <v>-1.6938136964490669</v>
      </c>
      <c r="L41" s="19" t="s">
        <v>79</v>
      </c>
      <c r="N41" s="58"/>
      <c r="O41" s="130"/>
      <c r="P41" s="131"/>
      <c r="Q41" s="131"/>
      <c r="R41" s="131"/>
      <c r="S41" s="45"/>
      <c r="T41" s="96"/>
      <c r="U41" s="45"/>
      <c r="V41" s="45"/>
      <c r="W41" s="45"/>
      <c r="X41" s="96"/>
      <c r="Y41" s="134" t="s">
        <v>186</v>
      </c>
      <c r="Z41" s="259">
        <f>+E25</f>
        <v>26373887</v>
      </c>
      <c r="AA41" s="259"/>
      <c r="AB41" s="259"/>
      <c r="AC41" s="259"/>
      <c r="AD41" s="259"/>
      <c r="AE41" s="96"/>
      <c r="AF41" s="132" t="s">
        <v>184</v>
      </c>
      <c r="AG41" s="96"/>
      <c r="AH41" s="133"/>
      <c r="AI41" s="78"/>
      <c r="AJ41" s="149" t="s">
        <v>173</v>
      </c>
      <c r="AK41" s="91"/>
      <c r="AL41" s="92"/>
      <c r="AM41" s="91"/>
      <c r="AN41" s="91"/>
      <c r="AO41" s="91"/>
      <c r="AP41" s="91"/>
      <c r="AQ41" s="236">
        <f>+(E37+K32+E36+K31)/(E27-E29)*100</f>
        <v>-6.844274523591178</v>
      </c>
      <c r="AR41" s="236"/>
      <c r="AS41" s="127" t="s">
        <v>62</v>
      </c>
      <c r="AT41" s="75"/>
      <c r="AU41" s="91" t="s">
        <v>177</v>
      </c>
      <c r="AV41" s="75"/>
      <c r="AW41" s="24"/>
      <c r="AX41" s="80"/>
      <c r="AY41" s="80"/>
      <c r="AZ41" s="80"/>
      <c r="BA41" s="258">
        <f t="shared" si="22"/>
        <v>0</v>
      </c>
      <c r="BB41" s="258"/>
      <c r="BC41" s="258"/>
      <c r="BD41" s="60" t="s">
        <v>62</v>
      </c>
      <c r="BE41" s="228">
        <f t="shared" si="23"/>
        <v>0</v>
      </c>
      <c r="BF41" s="228"/>
      <c r="BG41" s="151"/>
      <c r="BI41" s="31"/>
      <c r="BJ41" s="10" t="s">
        <v>25</v>
      </c>
      <c r="BK41" s="24"/>
      <c r="BL41" s="12"/>
      <c r="BM41" s="10"/>
      <c r="BN41" s="54" t="s">
        <v>86</v>
      </c>
      <c r="BO41" s="54" t="str">
        <f t="shared" si="0"/>
        <v>----</v>
      </c>
      <c r="BP41" s="54" t="s">
        <v>86</v>
      </c>
      <c r="BQ41" s="10"/>
      <c r="BR41" s="24"/>
      <c r="BS41" s="10"/>
      <c r="BT41" s="24"/>
      <c r="BU41" s="11"/>
      <c r="BV41" s="3"/>
      <c r="CI41" s="2"/>
    </row>
    <row r="42" spans="2:74" ht="19.5" customHeight="1" thickBot="1">
      <c r="B42" s="166" t="s">
        <v>218</v>
      </c>
      <c r="C42" s="167">
        <f>+E27-E30</f>
        <v>-1598965</v>
      </c>
      <c r="D42" s="166" t="s">
        <v>227</v>
      </c>
      <c r="E42" s="167">
        <f>((K13+K16+K17)+(+K13+K16+K18+K19+K21))/2</f>
        <v>26373887.5</v>
      </c>
      <c r="F42" s="22" t="s">
        <v>79</v>
      </c>
      <c r="G42" s="42"/>
      <c r="H42" s="58" t="s">
        <v>232</v>
      </c>
      <c r="I42" s="197">
        <f>IF(K17-K18=0,0,(E15-E16)/(K17-K18))</f>
        <v>4.512275546738847</v>
      </c>
      <c r="J42" s="188">
        <f>IF(I44=0,0,(K27+K28)/(K17-K18)*100)</f>
        <v>0</v>
      </c>
      <c r="K42" s="189">
        <f>+J42*-11.6782/100</f>
        <v>0</v>
      </c>
      <c r="L42" s="19" t="s">
        <v>79</v>
      </c>
      <c r="N42" s="58"/>
      <c r="O42" s="92"/>
      <c r="P42" s="92"/>
      <c r="Q42" s="92"/>
      <c r="R42" s="92"/>
      <c r="S42" s="94"/>
      <c r="T42" s="94"/>
      <c r="U42" s="94"/>
      <c r="V42" s="94"/>
      <c r="W42" s="94"/>
      <c r="X42" s="94"/>
      <c r="Y42" s="94"/>
      <c r="Z42" s="94"/>
      <c r="AA42" s="94"/>
      <c r="AB42" s="94"/>
      <c r="AC42" s="59"/>
      <c r="AD42" s="92"/>
      <c r="AE42" s="59"/>
      <c r="AF42" s="92"/>
      <c r="AG42" s="92"/>
      <c r="AH42" s="92"/>
      <c r="AI42" s="5"/>
      <c r="AJ42" s="150" t="s">
        <v>174</v>
      </c>
      <c r="AK42" s="126"/>
      <c r="AL42" s="99"/>
      <c r="AM42" s="99"/>
      <c r="AN42" s="99"/>
      <c r="AO42" s="99"/>
      <c r="AP42" s="99"/>
      <c r="AQ42" s="234">
        <f>+E37/(E27-E29)*100</f>
        <v>-6.844274523591178</v>
      </c>
      <c r="AR42" s="234"/>
      <c r="AS42" s="128" t="s">
        <v>62</v>
      </c>
      <c r="AT42" s="24"/>
      <c r="AU42" s="59" t="s">
        <v>178</v>
      </c>
      <c r="AV42" s="24"/>
      <c r="AW42" s="24"/>
      <c r="AX42" s="24"/>
      <c r="AY42" s="24"/>
      <c r="AZ42" s="6"/>
      <c r="BA42" s="258">
        <f t="shared" si="22"/>
        <v>0</v>
      </c>
      <c r="BB42" s="258"/>
      <c r="BC42" s="258"/>
      <c r="BD42" s="60" t="s">
        <v>62</v>
      </c>
      <c r="BE42" s="228">
        <f t="shared" si="23"/>
        <v>0</v>
      </c>
      <c r="BF42" s="228"/>
      <c r="BG42" s="151"/>
      <c r="BI42" s="31"/>
      <c r="BJ42" s="24"/>
      <c r="BK42" s="24"/>
      <c r="BL42" s="12" t="s">
        <v>64</v>
      </c>
      <c r="BM42" s="10"/>
      <c r="BN42" s="54" t="s">
        <v>86</v>
      </c>
      <c r="BO42" s="54" t="str">
        <f t="shared" si="0"/>
        <v>----</v>
      </c>
      <c r="BP42" s="54" t="s">
        <v>86</v>
      </c>
      <c r="BQ42" s="10"/>
      <c r="BR42" s="10"/>
      <c r="BS42" s="10" t="s">
        <v>65</v>
      </c>
      <c r="BT42" s="24"/>
      <c r="BU42" s="11"/>
      <c r="BV42" s="3"/>
    </row>
    <row r="43" spans="2:87" ht="19.5" customHeight="1" thickBot="1">
      <c r="B43" s="58"/>
      <c r="C43" s="151"/>
      <c r="D43" s="166" t="s">
        <v>228</v>
      </c>
      <c r="E43" s="167">
        <f>E25</f>
        <v>26373887</v>
      </c>
      <c r="F43" s="22" t="s">
        <v>79</v>
      </c>
      <c r="G43" s="42"/>
      <c r="H43" s="58" t="s">
        <v>233</v>
      </c>
      <c r="I43" s="199">
        <f>SUM(K41:K46)</f>
        <v>0.10389699571788663</v>
      </c>
      <c r="J43" s="188">
        <f>IF(I44=0,0,E23/(E15-E16)*100)</f>
        <v>49.416299159204236</v>
      </c>
      <c r="K43" s="189">
        <f>+J43*3.1676/100</f>
        <v>1.5653106921669535</v>
      </c>
      <c r="L43" s="19" t="s">
        <v>79</v>
      </c>
      <c r="N43" s="58"/>
      <c r="O43" s="103" t="s">
        <v>179</v>
      </c>
      <c r="P43" s="92"/>
      <c r="Q43" s="92"/>
      <c r="R43" s="92"/>
      <c r="S43" s="94"/>
      <c r="T43" s="94"/>
      <c r="U43" s="94"/>
      <c r="V43" s="94"/>
      <c r="W43" s="94"/>
      <c r="X43" s="94"/>
      <c r="Y43" s="253">
        <f>+I41</f>
        <v>-6.107321230275993</v>
      </c>
      <c r="Z43" s="254"/>
      <c r="AA43" s="94"/>
      <c r="AB43" s="153" t="s">
        <v>187</v>
      </c>
      <c r="AC43" s="154"/>
      <c r="AD43" s="131"/>
      <c r="AE43" s="252">
        <f>+K29</f>
        <v>310</v>
      </c>
      <c r="AF43" s="252"/>
      <c r="AG43" s="252"/>
      <c r="AH43" s="252"/>
      <c r="AI43" s="238" t="s">
        <v>135</v>
      </c>
      <c r="AJ43" s="239"/>
      <c r="AK43" s="24"/>
      <c r="AL43" s="7"/>
      <c r="AM43" s="24"/>
      <c r="AN43" s="24"/>
      <c r="AO43" s="24"/>
      <c r="AP43" s="24"/>
      <c r="AQ43" s="5"/>
      <c r="AR43" s="24"/>
      <c r="AS43" s="7"/>
      <c r="AT43" s="24"/>
      <c r="AU43" s="59"/>
      <c r="AV43" s="89" t="s">
        <v>134</v>
      </c>
      <c r="AW43" s="24"/>
      <c r="AX43" s="24"/>
      <c r="AY43" s="73"/>
      <c r="AZ43" s="7"/>
      <c r="BA43" s="258">
        <f t="shared" si="22"/>
        <v>23.24</v>
      </c>
      <c r="BB43" s="258"/>
      <c r="BC43" s="258"/>
      <c r="BD43" s="60" t="s">
        <v>62</v>
      </c>
      <c r="BE43" s="228">
        <f t="shared" si="23"/>
        <v>0.2324</v>
      </c>
      <c r="BF43" s="228"/>
      <c r="BG43" s="151"/>
      <c r="BI43" s="31"/>
      <c r="BJ43" s="18" t="s">
        <v>183</v>
      </c>
      <c r="BK43" s="10"/>
      <c r="BL43" s="24"/>
      <c r="BM43" s="10"/>
      <c r="BN43" s="54" t="s">
        <v>86</v>
      </c>
      <c r="BO43" s="54" t="str">
        <f t="shared" si="0"/>
        <v>----</v>
      </c>
      <c r="BP43" s="54" t="s">
        <v>86</v>
      </c>
      <c r="BQ43" s="10"/>
      <c r="BR43" s="10"/>
      <c r="BS43" s="10"/>
      <c r="BT43" s="10"/>
      <c r="BU43" s="11"/>
      <c r="BV43" s="3"/>
      <c r="CI43" s="2"/>
    </row>
    <row r="44" spans="2:87" ht="19.5" customHeight="1" thickBot="1">
      <c r="B44" s="185" t="s">
        <v>78</v>
      </c>
      <c r="C44" s="192">
        <f>C42-C41</f>
        <v>0</v>
      </c>
      <c r="D44" s="184" t="s">
        <v>76</v>
      </c>
      <c r="E44" s="192">
        <f>(E41+E42)-(E43*2)</f>
        <v>1</v>
      </c>
      <c r="F44" s="22" t="s">
        <v>79</v>
      </c>
      <c r="G44" s="42"/>
      <c r="H44" s="58" t="s">
        <v>229</v>
      </c>
      <c r="I44" s="200">
        <f>IF(E11="C",1,IF(E11="A",2,IF(E11="M",3,0)))</f>
        <v>1</v>
      </c>
      <c r="J44" s="188">
        <f>IF(I44=0,0,IF(I44=2,(E17+E20)/(E17+E20+E21+E24)*100,IF(I44=3,(E17+E20)/(E17+E20+E21+E24),(E18+E19+E20)/(E17+E20+E21+E24)*100)))</f>
        <v>0</v>
      </c>
      <c r="K44" s="189">
        <f>+J44*-1.62/100</f>
        <v>0</v>
      </c>
      <c r="L44" s="19" t="s">
        <v>79</v>
      </c>
      <c r="N44" s="58"/>
      <c r="O44" s="103" t="s">
        <v>180</v>
      </c>
      <c r="P44" s="92"/>
      <c r="Q44" s="92"/>
      <c r="R44" s="92"/>
      <c r="S44" s="74"/>
      <c r="T44" s="74"/>
      <c r="U44" s="74"/>
      <c r="V44" s="74"/>
      <c r="W44" s="74"/>
      <c r="X44" s="74"/>
      <c r="Y44" s="240">
        <f>+I42</f>
        <v>4.512275546738847</v>
      </c>
      <c r="Z44" s="242"/>
      <c r="AA44" s="74"/>
      <c r="AB44" s="155" t="s">
        <v>199</v>
      </c>
      <c r="AC44" s="96"/>
      <c r="AD44" s="96"/>
      <c r="AE44" s="193"/>
      <c r="AF44" s="237">
        <f>+(E33+K30)/K29</f>
        <v>70192.9</v>
      </c>
      <c r="AG44" s="237"/>
      <c r="AH44" s="237"/>
      <c r="AI44" s="247" t="s">
        <v>184</v>
      </c>
      <c r="AJ44" s="248"/>
      <c r="AK44" s="24"/>
      <c r="AL44" s="130" t="s">
        <v>263</v>
      </c>
      <c r="AM44" s="100"/>
      <c r="AN44" s="45"/>
      <c r="AO44" s="143"/>
      <c r="AP44" s="143"/>
      <c r="AQ44" s="252">
        <f>+E28/E27*100</f>
        <v>6.910354703291034</v>
      </c>
      <c r="AR44" s="252"/>
      <c r="AS44" s="144" t="s">
        <v>62</v>
      </c>
      <c r="AT44" s="24"/>
      <c r="AU44" s="69" t="s">
        <v>188</v>
      </c>
      <c r="AV44" s="5"/>
      <c r="AW44" s="24"/>
      <c r="AX44" s="24"/>
      <c r="AY44" s="24"/>
      <c r="AZ44" s="6"/>
      <c r="BA44" s="5"/>
      <c r="BB44" s="24"/>
      <c r="BC44" s="24"/>
      <c r="BD44" s="240">
        <f>+I43</f>
        <v>0.10389699571788663</v>
      </c>
      <c r="BE44" s="241"/>
      <c r="BF44" s="242"/>
      <c r="BG44" s="151"/>
      <c r="BI44" s="31"/>
      <c r="BU44" s="11"/>
      <c r="BV44" s="3"/>
      <c r="CI44" s="2"/>
    </row>
    <row r="45" spans="2:74" ht="19.5" customHeight="1" thickBot="1">
      <c r="B45" s="24"/>
      <c r="C45" s="24"/>
      <c r="D45" s="24"/>
      <c r="E45" s="24"/>
      <c r="F45" s="22" t="s">
        <v>79</v>
      </c>
      <c r="G45" s="42"/>
      <c r="H45" s="58" t="s">
        <v>230</v>
      </c>
      <c r="I45" s="196">
        <f>+(E10-K10)/365*12</f>
        <v>12</v>
      </c>
      <c r="J45" s="188">
        <f>IF(I44=0,0,K20/(K17-K18)*100)</f>
        <v>0</v>
      </c>
      <c r="K45" s="189">
        <f>+J45*-0.8353/100</f>
        <v>0</v>
      </c>
      <c r="L45" s="19" t="s">
        <v>79</v>
      </c>
      <c r="N45" s="84"/>
      <c r="O45" s="85"/>
      <c r="P45" s="85"/>
      <c r="Q45" s="85"/>
      <c r="R45" s="85"/>
      <c r="S45" s="87"/>
      <c r="T45" s="87"/>
      <c r="U45" s="87"/>
      <c r="V45" s="87"/>
      <c r="W45" s="87"/>
      <c r="X45" s="87"/>
      <c r="Y45" s="87"/>
      <c r="Z45" s="87"/>
      <c r="AA45" s="87"/>
      <c r="AB45" s="87"/>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8"/>
      <c r="BC45" s="86"/>
      <c r="BD45" s="86"/>
      <c r="BE45" s="86"/>
      <c r="BF45" s="86"/>
      <c r="BG45" s="152"/>
      <c r="BI45" s="37"/>
      <c r="BJ45" s="71"/>
      <c r="BK45" s="15"/>
      <c r="BL45" s="15"/>
      <c r="BM45" s="15"/>
      <c r="BN45" s="38"/>
      <c r="BO45" s="38"/>
      <c r="BP45" s="38"/>
      <c r="BQ45" s="15"/>
      <c r="BR45" s="15"/>
      <c r="BS45" s="15"/>
      <c r="BT45" s="15"/>
      <c r="BU45" s="16"/>
      <c r="BV45" s="4"/>
    </row>
    <row r="46" spans="5:58" ht="19.5" customHeight="1" thickBot="1">
      <c r="E46" s="24"/>
      <c r="F46" s="22" t="s">
        <v>79</v>
      </c>
      <c r="G46" s="156"/>
      <c r="H46" s="84" t="s">
        <v>210</v>
      </c>
      <c r="I46" s="201" t="str">
        <f>RIGHT(FIXED(K11,0,TRUE),2)</f>
        <v>22</v>
      </c>
      <c r="J46" s="190">
        <v>23.24</v>
      </c>
      <c r="K46" s="191">
        <f>+J46/100</f>
        <v>0.2324</v>
      </c>
      <c r="L46" s="19" t="s">
        <v>79</v>
      </c>
      <c r="S46" s="22"/>
      <c r="BD46" s="3"/>
      <c r="BE46" s="3"/>
      <c r="BF46" s="3"/>
    </row>
    <row r="47" spans="9:68" ht="19.5" customHeight="1">
      <c r="I47" s="41"/>
      <c r="J47" s="17"/>
      <c r="AX47" s="28"/>
      <c r="BP47" s="24"/>
    </row>
    <row r="48" spans="13:74" ht="19.5" customHeight="1">
      <c r="M48" s="21" t="s">
        <v>1</v>
      </c>
      <c r="N48" s="23" t="s">
        <v>0</v>
      </c>
      <c r="O48" s="23" t="s">
        <v>0</v>
      </c>
      <c r="P48" s="23" t="s">
        <v>0</v>
      </c>
      <c r="Q48" s="23" t="s">
        <v>0</v>
      </c>
      <c r="R48" s="23" t="s">
        <v>0</v>
      </c>
      <c r="S48" s="23" t="s">
        <v>0</v>
      </c>
      <c r="T48" s="23" t="s">
        <v>0</v>
      </c>
      <c r="U48" s="23" t="s">
        <v>0</v>
      </c>
      <c r="V48" s="23" t="s">
        <v>0</v>
      </c>
      <c r="W48" s="23" t="s">
        <v>0</v>
      </c>
      <c r="X48" s="23" t="s">
        <v>0</v>
      </c>
      <c r="Y48" s="23" t="s">
        <v>0</v>
      </c>
      <c r="Z48" s="23" t="s">
        <v>0</v>
      </c>
      <c r="AA48" s="23" t="s">
        <v>0</v>
      </c>
      <c r="AB48" s="23" t="s">
        <v>0</v>
      </c>
      <c r="AC48" s="23" t="s">
        <v>0</v>
      </c>
      <c r="AD48" s="23" t="s">
        <v>0</v>
      </c>
      <c r="AE48" s="23" t="s">
        <v>0</v>
      </c>
      <c r="AF48" s="23" t="s">
        <v>0</v>
      </c>
      <c r="AG48" s="23" t="s">
        <v>0</v>
      </c>
      <c r="AH48" s="23" t="s">
        <v>0</v>
      </c>
      <c r="AI48" s="23" t="s">
        <v>0</v>
      </c>
      <c r="AJ48" s="23" t="s">
        <v>0</v>
      </c>
      <c r="AK48" s="23" t="s">
        <v>0</v>
      </c>
      <c r="AL48" s="23" t="s">
        <v>0</v>
      </c>
      <c r="AM48" s="23" t="s">
        <v>0</v>
      </c>
      <c r="AN48" s="23" t="s">
        <v>0</v>
      </c>
      <c r="AO48" s="23" t="s">
        <v>0</v>
      </c>
      <c r="AP48" s="23" t="s">
        <v>0</v>
      </c>
      <c r="AQ48" s="23" t="s">
        <v>0</v>
      </c>
      <c r="AR48" s="23" t="s">
        <v>0</v>
      </c>
      <c r="AS48" s="23" t="s">
        <v>0</v>
      </c>
      <c r="AT48" s="23" t="s">
        <v>0</v>
      </c>
      <c r="AU48" s="23" t="s">
        <v>0</v>
      </c>
      <c r="AV48" s="23" t="s">
        <v>0</v>
      </c>
      <c r="AW48" s="23" t="s">
        <v>0</v>
      </c>
      <c r="AX48" s="23" t="s">
        <v>0</v>
      </c>
      <c r="AY48" s="23" t="s">
        <v>0</v>
      </c>
      <c r="AZ48" s="23" t="s">
        <v>0</v>
      </c>
      <c r="BA48" s="23" t="s">
        <v>0</v>
      </c>
      <c r="BB48" s="23" t="s">
        <v>0</v>
      </c>
      <c r="BC48" s="23" t="s">
        <v>0</v>
      </c>
      <c r="BD48" s="23" t="s">
        <v>0</v>
      </c>
      <c r="BE48" s="23" t="s">
        <v>0</v>
      </c>
      <c r="BF48" s="23" t="s">
        <v>0</v>
      </c>
      <c r="BG48" s="23" t="s">
        <v>0</v>
      </c>
      <c r="BH48" s="23" t="s">
        <v>0</v>
      </c>
      <c r="BI48" s="23" t="s">
        <v>0</v>
      </c>
      <c r="BJ48" s="23" t="s">
        <v>0</v>
      </c>
      <c r="BK48" s="23" t="s">
        <v>0</v>
      </c>
      <c r="BL48" s="23" t="s">
        <v>0</v>
      </c>
      <c r="BM48" s="23" t="s">
        <v>0</v>
      </c>
      <c r="BN48" s="23" t="s">
        <v>0</v>
      </c>
      <c r="BO48" s="23" t="s">
        <v>0</v>
      </c>
      <c r="BP48" s="23" t="s">
        <v>0</v>
      </c>
      <c r="BQ48" s="23" t="s">
        <v>0</v>
      </c>
      <c r="BR48" s="23" t="s">
        <v>0</v>
      </c>
      <c r="BS48" s="23" t="s">
        <v>0</v>
      </c>
      <c r="BT48" s="23" t="s">
        <v>0</v>
      </c>
      <c r="BU48" s="23" t="s">
        <v>0</v>
      </c>
      <c r="BV48" s="21" t="s">
        <v>1</v>
      </c>
    </row>
    <row r="49" spans="13:74" ht="19.5" customHeight="1">
      <c r="M49" s="21" t="s">
        <v>1</v>
      </c>
      <c r="V49" s="34" t="s">
        <v>13</v>
      </c>
      <c r="AE49" s="3"/>
      <c r="AS49" s="34" t="s">
        <v>14</v>
      </c>
      <c r="AU49" s="3"/>
      <c r="AV49" s="3"/>
      <c r="AW49" s="3"/>
      <c r="AX49" s="3"/>
      <c r="AY49" s="3"/>
      <c r="AZ49" s="3"/>
      <c r="BA49" s="3"/>
      <c r="BB49" s="3"/>
      <c r="BC49" s="3"/>
      <c r="BE49" s="3"/>
      <c r="BG49" s="21" t="s">
        <v>74</v>
      </c>
      <c r="BV49" s="21" t="s">
        <v>1</v>
      </c>
    </row>
    <row r="50" spans="13:74" ht="19.5" customHeight="1">
      <c r="M50" s="21" t="s">
        <v>1</v>
      </c>
      <c r="O50" s="21" t="s">
        <v>87</v>
      </c>
      <c r="Q50" s="28" t="str">
        <f aca="true" t="shared" si="24" ref="Q50:BE50">IF(Q86=1,$I$46,"--")</f>
        <v>--</v>
      </c>
      <c r="R50" s="28" t="str">
        <f t="shared" si="24"/>
        <v>--</v>
      </c>
      <c r="S50" s="28" t="str">
        <f t="shared" si="24"/>
        <v>--</v>
      </c>
      <c r="T50" s="28" t="str">
        <f t="shared" si="24"/>
        <v>--</v>
      </c>
      <c r="U50" s="28" t="str">
        <f t="shared" si="24"/>
        <v>--</v>
      </c>
      <c r="V50" s="28" t="str">
        <f t="shared" si="24"/>
        <v>--</v>
      </c>
      <c r="W50" s="28" t="str">
        <f t="shared" si="24"/>
        <v>--</v>
      </c>
      <c r="X50" s="28" t="str">
        <f t="shared" si="24"/>
        <v>--</v>
      </c>
      <c r="Y50" s="28" t="str">
        <f t="shared" si="24"/>
        <v>--</v>
      </c>
      <c r="Z50" s="28" t="str">
        <f t="shared" si="24"/>
        <v>--</v>
      </c>
      <c r="AA50" s="28" t="str">
        <f t="shared" si="24"/>
        <v>--</v>
      </c>
      <c r="AB50" s="28" t="str">
        <f t="shared" si="24"/>
        <v>--</v>
      </c>
      <c r="AC50" s="28" t="str">
        <f t="shared" si="24"/>
        <v>--</v>
      </c>
      <c r="AD50" s="28" t="str">
        <f t="shared" si="24"/>
        <v>--</v>
      </c>
      <c r="AE50" s="28" t="str">
        <f t="shared" si="24"/>
        <v>22</v>
      </c>
      <c r="AF50" s="28" t="str">
        <f t="shared" si="24"/>
        <v>--</v>
      </c>
      <c r="AG50" s="28" t="str">
        <f t="shared" si="24"/>
        <v>--</v>
      </c>
      <c r="AH50" s="28" t="str">
        <f t="shared" si="24"/>
        <v>--</v>
      </c>
      <c r="AI50" s="28" t="str">
        <f t="shared" si="24"/>
        <v>--</v>
      </c>
      <c r="AJ50" s="28" t="str">
        <f t="shared" si="24"/>
        <v>--</v>
      </c>
      <c r="AK50" s="28" t="str">
        <f t="shared" si="24"/>
        <v>--</v>
      </c>
      <c r="AL50" s="28" t="str">
        <f t="shared" si="24"/>
        <v>--</v>
      </c>
      <c r="AM50" s="28" t="str">
        <f t="shared" si="24"/>
        <v>--</v>
      </c>
      <c r="AN50" s="28" t="str">
        <f t="shared" si="24"/>
        <v>--</v>
      </c>
      <c r="AO50" s="28" t="str">
        <f t="shared" si="24"/>
        <v>--</v>
      </c>
      <c r="AP50" s="28" t="str">
        <f t="shared" si="24"/>
        <v>--</v>
      </c>
      <c r="AQ50" s="28" t="str">
        <f t="shared" si="24"/>
        <v>--</v>
      </c>
      <c r="AR50" s="28" t="str">
        <f t="shared" si="24"/>
        <v>--</v>
      </c>
      <c r="AS50" s="28" t="str">
        <f t="shared" si="24"/>
        <v>--</v>
      </c>
      <c r="AT50" s="28" t="str">
        <f t="shared" si="24"/>
        <v>--</v>
      </c>
      <c r="AU50" s="28" t="str">
        <f t="shared" si="24"/>
        <v>--</v>
      </c>
      <c r="AV50" s="28" t="str">
        <f t="shared" si="24"/>
        <v>--</v>
      </c>
      <c r="AW50" s="28" t="str">
        <f t="shared" si="24"/>
        <v>--</v>
      </c>
      <c r="AX50" s="28" t="str">
        <f t="shared" si="24"/>
        <v>--</v>
      </c>
      <c r="AY50" s="28" t="str">
        <f t="shared" si="24"/>
        <v>--</v>
      </c>
      <c r="AZ50" s="28" t="str">
        <f t="shared" si="24"/>
        <v>--</v>
      </c>
      <c r="BA50" s="28" t="str">
        <f t="shared" si="24"/>
        <v>--</v>
      </c>
      <c r="BB50" s="28" t="str">
        <f t="shared" si="24"/>
        <v>--</v>
      </c>
      <c r="BC50" s="28" t="str">
        <f t="shared" si="24"/>
        <v>--</v>
      </c>
      <c r="BD50" s="28" t="str">
        <f t="shared" si="24"/>
        <v>--</v>
      </c>
      <c r="BE50" s="28" t="str">
        <f t="shared" si="24"/>
        <v>--</v>
      </c>
      <c r="BG50" s="21">
        <f>IF(I42&gt;=1.95,1,0)</f>
        <v>1</v>
      </c>
      <c r="BL50" s="24"/>
      <c r="BM50" s="10"/>
      <c r="BN50" s="33"/>
      <c r="BO50" s="33">
        <f>IF(I43&gt;=2.595,1,0)</f>
        <v>0</v>
      </c>
      <c r="BP50" s="33"/>
      <c r="BQ50" s="10"/>
      <c r="BR50" s="39" t="s">
        <v>107</v>
      </c>
      <c r="BV50" s="21" t="s">
        <v>1</v>
      </c>
    </row>
    <row r="51" spans="13:74" ht="19.5" customHeight="1">
      <c r="M51" s="21" t="s">
        <v>1</v>
      </c>
      <c r="Q51" s="28" t="str">
        <f aca="true" t="shared" si="25" ref="Q51:Q59">IF(Q87=1,$I$46,"  |")</f>
        <v>  |</v>
      </c>
      <c r="R51" s="28">
        <f aca="true" t="shared" si="26" ref="R51:AJ51">IF(R87=1,$I$46,"")</f>
      </c>
      <c r="S51" s="28">
        <f t="shared" si="26"/>
      </c>
      <c r="T51" s="28">
        <f t="shared" si="26"/>
      </c>
      <c r="U51" s="28">
        <f t="shared" si="26"/>
      </c>
      <c r="V51" s="28">
        <f t="shared" si="26"/>
      </c>
      <c r="W51" s="28">
        <f t="shared" si="26"/>
      </c>
      <c r="X51" s="28">
        <f t="shared" si="26"/>
      </c>
      <c r="Y51" s="28">
        <f t="shared" si="26"/>
      </c>
      <c r="Z51" s="28">
        <f t="shared" si="26"/>
      </c>
      <c r="AA51" s="28">
        <f t="shared" si="26"/>
      </c>
      <c r="AB51" s="28">
        <f t="shared" si="26"/>
      </c>
      <c r="AC51" s="28">
        <f t="shared" si="26"/>
      </c>
      <c r="AD51" s="28">
        <f t="shared" si="26"/>
      </c>
      <c r="AE51" s="28">
        <f t="shared" si="26"/>
      </c>
      <c r="AF51" s="28">
        <f t="shared" si="26"/>
      </c>
      <c r="AG51" s="28">
        <f t="shared" si="26"/>
      </c>
      <c r="AH51" s="28">
        <f t="shared" si="26"/>
      </c>
      <c r="AI51" s="28">
        <f t="shared" si="26"/>
      </c>
      <c r="AJ51" s="28">
        <f t="shared" si="26"/>
      </c>
      <c r="AK51" s="28" t="str">
        <f aca="true" t="shared" si="27" ref="AK51:AK59">IF(AK87=1,$I$46,"  |")</f>
        <v>  |</v>
      </c>
      <c r="AL51" s="28">
        <f aca="true" t="shared" si="28" ref="AL51:BD51">IF(AL87=1,$I$46,"")</f>
      </c>
      <c r="AM51" s="28">
        <f t="shared" si="28"/>
      </c>
      <c r="AN51" s="28">
        <f t="shared" si="28"/>
      </c>
      <c r="AO51" s="28">
        <f t="shared" si="28"/>
      </c>
      <c r="AP51" s="28">
        <f t="shared" si="28"/>
      </c>
      <c r="AQ51" s="28">
        <f t="shared" si="28"/>
      </c>
      <c r="AR51" s="28">
        <f t="shared" si="28"/>
      </c>
      <c r="AS51" s="28">
        <f t="shared" si="28"/>
      </c>
      <c r="AT51" s="28">
        <f t="shared" si="28"/>
      </c>
      <c r="AU51" s="28">
        <f t="shared" si="28"/>
      </c>
      <c r="AV51" s="28">
        <f t="shared" si="28"/>
      </c>
      <c r="AW51" s="28">
        <f t="shared" si="28"/>
      </c>
      <c r="AX51" s="28">
        <f t="shared" si="28"/>
      </c>
      <c r="AY51" s="28">
        <f t="shared" si="28"/>
      </c>
      <c r="AZ51" s="28">
        <f t="shared" si="28"/>
      </c>
      <c r="BA51" s="28">
        <f t="shared" si="28"/>
      </c>
      <c r="BB51" s="28">
        <f t="shared" si="28"/>
      </c>
      <c r="BC51" s="28">
        <f t="shared" si="28"/>
      </c>
      <c r="BD51" s="28">
        <f t="shared" si="28"/>
      </c>
      <c r="BE51" s="28" t="str">
        <f aca="true" t="shared" si="29" ref="BE51:BE59">IF(BE87=1,$I$46,"  |")</f>
        <v>  |</v>
      </c>
      <c r="BG51" s="21">
        <f>IF(I42&gt;=1.85,IF(I42&lt;1.95,1,0),0)</f>
        <v>0</v>
      </c>
      <c r="BL51" s="12" t="s">
        <v>6</v>
      </c>
      <c r="BM51" s="10"/>
      <c r="BN51" s="33"/>
      <c r="BO51" s="33">
        <f>IF(I43&gt;=2.165,IF(I43&lt;2.595,1,0),0)</f>
        <v>0</v>
      </c>
      <c r="BP51" s="33"/>
      <c r="BQ51" s="10"/>
      <c r="BV51" s="21" t="s">
        <v>1</v>
      </c>
    </row>
    <row r="52" spans="7:74" ht="19.5" customHeight="1">
      <c r="G52" s="46"/>
      <c r="H52" s="46"/>
      <c r="I52" s="135"/>
      <c r="J52" s="136"/>
      <c r="K52" s="46"/>
      <c r="M52" s="21" t="s">
        <v>1</v>
      </c>
      <c r="O52" s="21" t="s">
        <v>88</v>
      </c>
      <c r="Q52" s="28" t="str">
        <f t="shared" si="25"/>
        <v>  |</v>
      </c>
      <c r="R52" s="28">
        <f aca="true" t="shared" si="30" ref="R52:AJ52">IF(R88=1,$I$46,"")</f>
      </c>
      <c r="S52" s="28">
        <f t="shared" si="30"/>
      </c>
      <c r="T52" s="28">
        <f t="shared" si="30"/>
      </c>
      <c r="U52" s="28">
        <f t="shared" si="30"/>
      </c>
      <c r="V52" s="28">
        <f t="shared" si="30"/>
      </c>
      <c r="W52" s="28">
        <f t="shared" si="30"/>
      </c>
      <c r="X52" s="28">
        <f t="shared" si="30"/>
      </c>
      <c r="Y52" s="28">
        <f t="shared" si="30"/>
      </c>
      <c r="Z52" s="28">
        <f t="shared" si="30"/>
      </c>
      <c r="AA52" s="28">
        <f t="shared" si="30"/>
      </c>
      <c r="AB52" s="28">
        <f t="shared" si="30"/>
      </c>
      <c r="AC52" s="28">
        <f t="shared" si="30"/>
      </c>
      <c r="AD52" s="28">
        <f t="shared" si="30"/>
      </c>
      <c r="AE52" s="28">
        <f t="shared" si="30"/>
      </c>
      <c r="AF52" s="28">
        <f t="shared" si="30"/>
      </c>
      <c r="AG52" s="28">
        <f t="shared" si="30"/>
      </c>
      <c r="AH52" s="28">
        <f t="shared" si="30"/>
      </c>
      <c r="AI52" s="28">
        <f t="shared" si="30"/>
      </c>
      <c r="AJ52" s="28">
        <f t="shared" si="30"/>
      </c>
      <c r="AK52" s="28" t="str">
        <f t="shared" si="27"/>
        <v>  |</v>
      </c>
      <c r="AL52" s="28">
        <f aca="true" t="shared" si="31" ref="AL52:BD52">IF(AL88=1,$I$46,"")</f>
      </c>
      <c r="AM52" s="28">
        <f t="shared" si="31"/>
      </c>
      <c r="AN52" s="28">
        <f t="shared" si="31"/>
      </c>
      <c r="AO52" s="28">
        <f t="shared" si="31"/>
      </c>
      <c r="AP52" s="28">
        <f t="shared" si="31"/>
      </c>
      <c r="AQ52" s="28">
        <f t="shared" si="31"/>
      </c>
      <c r="AR52" s="28">
        <f t="shared" si="31"/>
      </c>
      <c r="AS52" s="28">
        <f t="shared" si="31"/>
      </c>
      <c r="AT52" s="28">
        <f t="shared" si="31"/>
      </c>
      <c r="AU52" s="28">
        <f t="shared" si="31"/>
      </c>
      <c r="AV52" s="28">
        <f t="shared" si="31"/>
      </c>
      <c r="AW52" s="28">
        <f t="shared" si="31"/>
      </c>
      <c r="AX52" s="28">
        <f t="shared" si="31"/>
      </c>
      <c r="AY52" s="28">
        <f t="shared" si="31"/>
      </c>
      <c r="AZ52" s="28">
        <f t="shared" si="31"/>
      </c>
      <c r="BA52" s="28">
        <f t="shared" si="31"/>
      </c>
      <c r="BB52" s="28">
        <f t="shared" si="31"/>
      </c>
      <c r="BC52" s="28">
        <f t="shared" si="31"/>
      </c>
      <c r="BD52" s="28">
        <f t="shared" si="31"/>
      </c>
      <c r="BE52" s="28" t="str">
        <f t="shared" si="29"/>
        <v>  |</v>
      </c>
      <c r="BG52" s="21">
        <f>IF(I42&gt;=1.75,IF(I42&lt;1.85,1,0),0)</f>
        <v>0</v>
      </c>
      <c r="BL52" s="12"/>
      <c r="BM52" s="10"/>
      <c r="BN52" s="33"/>
      <c r="BO52" s="33">
        <f>IF(I43&gt;=1.735,IF(I43&lt;2.165,1,0),0)</f>
        <v>0</v>
      </c>
      <c r="BP52" s="33"/>
      <c r="BQ52" s="10"/>
      <c r="BR52" s="22" t="s">
        <v>105</v>
      </c>
      <c r="BV52" s="21" t="s">
        <v>1</v>
      </c>
    </row>
    <row r="53" spans="2:74" ht="19.5" customHeight="1">
      <c r="B53" s="46"/>
      <c r="C53" s="46"/>
      <c r="D53" s="46"/>
      <c r="E53" s="46"/>
      <c r="G53" s="46"/>
      <c r="H53" s="46"/>
      <c r="I53" s="137"/>
      <c r="J53" s="138"/>
      <c r="K53" s="46"/>
      <c r="M53" s="21" t="s">
        <v>1</v>
      </c>
      <c r="Q53" s="28" t="str">
        <f t="shared" si="25"/>
        <v>  |</v>
      </c>
      <c r="R53" s="28">
        <f aca="true" t="shared" si="32" ref="R53:AJ53">IF(R89=1,$I$46,"")</f>
      </c>
      <c r="S53" s="28">
        <f t="shared" si="32"/>
      </c>
      <c r="T53" s="28">
        <f t="shared" si="32"/>
      </c>
      <c r="U53" s="28">
        <f t="shared" si="32"/>
      </c>
      <c r="V53" s="28">
        <f t="shared" si="32"/>
      </c>
      <c r="W53" s="28">
        <f t="shared" si="32"/>
      </c>
      <c r="X53" s="28">
        <f t="shared" si="32"/>
      </c>
      <c r="Y53" s="28">
        <f t="shared" si="32"/>
      </c>
      <c r="Z53" s="28">
        <f t="shared" si="32"/>
      </c>
      <c r="AA53" s="28">
        <f t="shared" si="32"/>
      </c>
      <c r="AB53" s="28">
        <f t="shared" si="32"/>
      </c>
      <c r="AC53" s="28">
        <f t="shared" si="32"/>
      </c>
      <c r="AD53" s="28">
        <f t="shared" si="32"/>
      </c>
      <c r="AE53" s="28">
        <f t="shared" si="32"/>
      </c>
      <c r="AF53" s="28">
        <f t="shared" si="32"/>
      </c>
      <c r="AG53" s="28">
        <f t="shared" si="32"/>
      </c>
      <c r="AH53" s="28">
        <f t="shared" si="32"/>
      </c>
      <c r="AI53" s="28">
        <f t="shared" si="32"/>
      </c>
      <c r="AJ53" s="28">
        <f t="shared" si="32"/>
      </c>
      <c r="AK53" s="28" t="str">
        <f t="shared" si="27"/>
        <v>  |</v>
      </c>
      <c r="AL53" s="28">
        <f aca="true" t="shared" si="33" ref="AL53:BD53">IF(AL89=1,$I$46,"")</f>
      </c>
      <c r="AM53" s="28">
        <f t="shared" si="33"/>
      </c>
      <c r="AN53" s="28">
        <f t="shared" si="33"/>
      </c>
      <c r="AO53" s="28">
        <f t="shared" si="33"/>
      </c>
      <c r="AP53" s="28">
        <f t="shared" si="33"/>
      </c>
      <c r="AQ53" s="28">
        <f t="shared" si="33"/>
      </c>
      <c r="AR53" s="28">
        <f t="shared" si="33"/>
      </c>
      <c r="AS53" s="28">
        <f t="shared" si="33"/>
      </c>
      <c r="AT53" s="28">
        <f t="shared" si="33"/>
      </c>
      <c r="AU53" s="28">
        <f t="shared" si="33"/>
      </c>
      <c r="AV53" s="28">
        <f t="shared" si="33"/>
      </c>
      <c r="AW53" s="28">
        <f t="shared" si="33"/>
      </c>
      <c r="AX53" s="28">
        <f t="shared" si="33"/>
      </c>
      <c r="AY53" s="28">
        <f t="shared" si="33"/>
      </c>
      <c r="AZ53" s="28">
        <f t="shared" si="33"/>
      </c>
      <c r="BA53" s="28">
        <f t="shared" si="33"/>
      </c>
      <c r="BB53" s="28">
        <f t="shared" si="33"/>
      </c>
      <c r="BC53" s="28">
        <f t="shared" si="33"/>
      </c>
      <c r="BD53" s="28">
        <f t="shared" si="33"/>
      </c>
      <c r="BE53" s="28" t="str">
        <f t="shared" si="29"/>
        <v>  |</v>
      </c>
      <c r="BG53" s="21">
        <f>IF(I42&gt;=1.65,IF(I42&lt;1.75,1,0),0)</f>
        <v>0</v>
      </c>
      <c r="BL53" s="12" t="s">
        <v>12</v>
      </c>
      <c r="BM53" s="10"/>
      <c r="BN53" s="33"/>
      <c r="BO53" s="33">
        <f>IF(I43&gt;=1.305,IF(I43&lt;1.735,1,0),0)</f>
        <v>0</v>
      </c>
      <c r="BP53" s="33"/>
      <c r="BQ53" s="10"/>
      <c r="BV53" s="21" t="s">
        <v>1</v>
      </c>
    </row>
    <row r="54" spans="2:74" ht="19.5" customHeight="1">
      <c r="B54" s="46"/>
      <c r="C54" s="46"/>
      <c r="D54" s="46"/>
      <c r="E54" s="178"/>
      <c r="G54" s="178"/>
      <c r="H54" s="178"/>
      <c r="I54" s="135"/>
      <c r="J54" s="136"/>
      <c r="K54" s="178"/>
      <c r="M54" s="21" t="s">
        <v>1</v>
      </c>
      <c r="O54" s="21" t="s">
        <v>89</v>
      </c>
      <c r="Q54" s="28" t="str">
        <f t="shared" si="25"/>
        <v>  |</v>
      </c>
      <c r="R54" s="28">
        <f aca="true" t="shared" si="34" ref="R54:AJ54">IF(R90=1,$I$46,"")</f>
      </c>
      <c r="S54" s="28">
        <f t="shared" si="34"/>
      </c>
      <c r="T54" s="28">
        <f t="shared" si="34"/>
      </c>
      <c r="U54" s="28">
        <f t="shared" si="34"/>
      </c>
      <c r="V54" s="28">
        <f t="shared" si="34"/>
      </c>
      <c r="W54" s="28">
        <f t="shared" si="34"/>
      </c>
      <c r="X54" s="28">
        <f t="shared" si="34"/>
      </c>
      <c r="Y54" s="28">
        <f t="shared" si="34"/>
      </c>
      <c r="Z54" s="28">
        <f t="shared" si="34"/>
      </c>
      <c r="AA54" s="28">
        <f t="shared" si="34"/>
      </c>
      <c r="AB54" s="28">
        <f t="shared" si="34"/>
      </c>
      <c r="AC54" s="28">
        <f t="shared" si="34"/>
      </c>
      <c r="AD54" s="28">
        <f t="shared" si="34"/>
      </c>
      <c r="AE54" s="28">
        <f t="shared" si="34"/>
      </c>
      <c r="AF54" s="28">
        <f t="shared" si="34"/>
      </c>
      <c r="AG54" s="28">
        <f t="shared" si="34"/>
      </c>
      <c r="AH54" s="28">
        <f t="shared" si="34"/>
      </c>
      <c r="AI54" s="28">
        <f t="shared" si="34"/>
      </c>
      <c r="AJ54" s="28">
        <f t="shared" si="34"/>
      </c>
      <c r="AK54" s="28" t="str">
        <f t="shared" si="27"/>
        <v>  |</v>
      </c>
      <c r="AL54" s="28">
        <f aca="true" t="shared" si="35" ref="AL54:BD54">IF(AL90=1,$I$46,"")</f>
      </c>
      <c r="AM54" s="28">
        <f t="shared" si="35"/>
      </c>
      <c r="AN54" s="28">
        <f t="shared" si="35"/>
      </c>
      <c r="AO54" s="28">
        <f t="shared" si="35"/>
      </c>
      <c r="AP54" s="28">
        <f t="shared" si="35"/>
      </c>
      <c r="AQ54" s="28">
        <f t="shared" si="35"/>
      </c>
      <c r="AR54" s="28">
        <f t="shared" si="35"/>
      </c>
      <c r="AS54" s="28">
        <f t="shared" si="35"/>
      </c>
      <c r="AT54" s="28">
        <f t="shared" si="35"/>
      </c>
      <c r="AU54" s="28">
        <f t="shared" si="35"/>
      </c>
      <c r="AV54" s="28">
        <f t="shared" si="35"/>
      </c>
      <c r="AW54" s="28">
        <f t="shared" si="35"/>
      </c>
      <c r="AX54" s="28">
        <f t="shared" si="35"/>
      </c>
      <c r="AY54" s="28">
        <f t="shared" si="35"/>
      </c>
      <c r="AZ54" s="28">
        <f t="shared" si="35"/>
      </c>
      <c r="BA54" s="28">
        <f t="shared" si="35"/>
      </c>
      <c r="BB54" s="28">
        <f t="shared" si="35"/>
      </c>
      <c r="BC54" s="28">
        <f t="shared" si="35"/>
      </c>
      <c r="BD54" s="28">
        <f t="shared" si="35"/>
      </c>
      <c r="BE54" s="28" t="str">
        <f t="shared" si="29"/>
        <v>  |</v>
      </c>
      <c r="BG54" s="21">
        <f>IF(I42&gt;=1.55,IF(I42&lt;1.65,1,0),0)</f>
        <v>0</v>
      </c>
      <c r="BL54" s="12"/>
      <c r="BM54" s="10"/>
      <c r="BN54" s="33"/>
      <c r="BO54" s="33">
        <f>IF(I43&gt;=0.865,IF(I43&lt;1.305,1,0),0)</f>
        <v>0</v>
      </c>
      <c r="BP54" s="33"/>
      <c r="BQ54" s="10"/>
      <c r="BR54" s="39" t="s">
        <v>106</v>
      </c>
      <c r="BV54" s="21" t="s">
        <v>1</v>
      </c>
    </row>
    <row r="55" spans="13:74" ht="19.5" customHeight="1">
      <c r="M55" s="21" t="s">
        <v>1</v>
      </c>
      <c r="Q55" s="28" t="str">
        <f t="shared" si="25"/>
        <v>  |</v>
      </c>
      <c r="R55" s="28">
        <f aca="true" t="shared" si="36" ref="R55:AJ55">IF(R91=1,$I$46,"")</f>
      </c>
      <c r="S55" s="28">
        <f t="shared" si="36"/>
      </c>
      <c r="T55" s="28">
        <f t="shared" si="36"/>
      </c>
      <c r="U55" s="28">
        <f t="shared" si="36"/>
      </c>
      <c r="V55" s="28">
        <f t="shared" si="36"/>
      </c>
      <c r="W55" s="28">
        <f t="shared" si="36"/>
      </c>
      <c r="X55" s="28">
        <f t="shared" si="36"/>
      </c>
      <c r="Y55" s="28">
        <f t="shared" si="36"/>
      </c>
      <c r="Z55" s="28">
        <f t="shared" si="36"/>
      </c>
      <c r="AA55" s="28">
        <f t="shared" si="36"/>
      </c>
      <c r="AB55" s="28">
        <f t="shared" si="36"/>
      </c>
      <c r="AC55" s="28">
        <f t="shared" si="36"/>
      </c>
      <c r="AD55" s="28">
        <f t="shared" si="36"/>
      </c>
      <c r="AE55" s="28">
        <f t="shared" si="36"/>
      </c>
      <c r="AF55" s="28">
        <f t="shared" si="36"/>
      </c>
      <c r="AG55" s="28">
        <f t="shared" si="36"/>
      </c>
      <c r="AH55" s="28">
        <f t="shared" si="36"/>
      </c>
      <c r="AI55" s="28">
        <f t="shared" si="36"/>
      </c>
      <c r="AJ55" s="28">
        <f t="shared" si="36"/>
      </c>
      <c r="AK55" s="28" t="str">
        <f t="shared" si="27"/>
        <v>  |</v>
      </c>
      <c r="AL55" s="28">
        <f aca="true" t="shared" si="37" ref="AL55:BD55">IF(AL91=1,$I$46,"")</f>
      </c>
      <c r="AM55" s="28">
        <f t="shared" si="37"/>
      </c>
      <c r="AN55" s="28">
        <f t="shared" si="37"/>
      </c>
      <c r="AO55" s="28">
        <f t="shared" si="37"/>
      </c>
      <c r="AP55" s="28">
        <f t="shared" si="37"/>
      </c>
      <c r="AQ55" s="28">
        <f t="shared" si="37"/>
      </c>
      <c r="AR55" s="28">
        <f t="shared" si="37"/>
      </c>
      <c r="AS55" s="28">
        <f t="shared" si="37"/>
      </c>
      <c r="AT55" s="28">
        <f t="shared" si="37"/>
      </c>
      <c r="AU55" s="28">
        <f t="shared" si="37"/>
      </c>
      <c r="AV55" s="28">
        <f t="shared" si="37"/>
      </c>
      <c r="AW55" s="28">
        <f t="shared" si="37"/>
      </c>
      <c r="AX55" s="28">
        <f t="shared" si="37"/>
      </c>
      <c r="AY55" s="28">
        <f t="shared" si="37"/>
      </c>
      <c r="AZ55" s="28">
        <f t="shared" si="37"/>
      </c>
      <c r="BA55" s="28">
        <f t="shared" si="37"/>
      </c>
      <c r="BB55" s="28">
        <f t="shared" si="37"/>
      </c>
      <c r="BC55" s="28">
        <f t="shared" si="37"/>
      </c>
      <c r="BD55" s="28">
        <f t="shared" si="37"/>
      </c>
      <c r="BE55" s="28" t="str">
        <f t="shared" si="29"/>
        <v>  |</v>
      </c>
      <c r="BG55" s="21">
        <f>IF(I42&gt;=1.45,IF(I42&lt;1.55,1,0),0)</f>
        <v>0</v>
      </c>
      <c r="BL55" s="12" t="s">
        <v>17</v>
      </c>
      <c r="BM55" s="10"/>
      <c r="BN55" s="33"/>
      <c r="BO55" s="33">
        <f>IF(I43&gt;=0.815,IF(I43&lt;0.865,1,0),0)</f>
        <v>0</v>
      </c>
      <c r="BP55" s="33"/>
      <c r="BQ55" s="10"/>
      <c r="BV55" s="21" t="s">
        <v>1</v>
      </c>
    </row>
    <row r="56" spans="13:74" ht="19.5" customHeight="1">
      <c r="M56" s="21" t="s">
        <v>1</v>
      </c>
      <c r="O56" s="21" t="s">
        <v>90</v>
      </c>
      <c r="Q56" s="28" t="str">
        <f t="shared" si="25"/>
        <v>  |</v>
      </c>
      <c r="R56" s="28">
        <f aca="true" t="shared" si="38" ref="R56:AJ56">IF(R92=1,$I$46,"")</f>
      </c>
      <c r="S56" s="28">
        <f t="shared" si="38"/>
      </c>
      <c r="T56" s="28">
        <f t="shared" si="38"/>
      </c>
      <c r="U56" s="28">
        <f t="shared" si="38"/>
      </c>
      <c r="V56" s="28">
        <f t="shared" si="38"/>
      </c>
      <c r="W56" s="28">
        <f t="shared" si="38"/>
      </c>
      <c r="X56" s="28">
        <f t="shared" si="38"/>
      </c>
      <c r="Y56" s="28">
        <f t="shared" si="38"/>
      </c>
      <c r="Z56" s="28">
        <f t="shared" si="38"/>
      </c>
      <c r="AA56" s="28">
        <f t="shared" si="38"/>
      </c>
      <c r="AB56" s="28">
        <f t="shared" si="38"/>
      </c>
      <c r="AC56" s="28">
        <f t="shared" si="38"/>
      </c>
      <c r="AD56" s="28">
        <f t="shared" si="38"/>
      </c>
      <c r="AE56" s="28">
        <f t="shared" si="38"/>
      </c>
      <c r="AF56" s="28">
        <f t="shared" si="38"/>
      </c>
      <c r="AG56" s="28">
        <f t="shared" si="38"/>
      </c>
      <c r="AH56" s="28">
        <f t="shared" si="38"/>
      </c>
      <c r="AI56" s="28">
        <f t="shared" si="38"/>
      </c>
      <c r="AJ56" s="28">
        <f t="shared" si="38"/>
      </c>
      <c r="AK56" s="28" t="str">
        <f t="shared" si="27"/>
        <v>  |</v>
      </c>
      <c r="AL56" s="28">
        <f aca="true" t="shared" si="39" ref="AL56:BD56">IF(AL92=1,$I$46,"")</f>
      </c>
      <c r="AM56" s="28">
        <f t="shared" si="39"/>
      </c>
      <c r="AN56" s="28">
        <f t="shared" si="39"/>
      </c>
      <c r="AO56" s="28">
        <f t="shared" si="39"/>
      </c>
      <c r="AP56" s="28">
        <f t="shared" si="39"/>
      </c>
      <c r="AQ56" s="28">
        <f t="shared" si="39"/>
      </c>
      <c r="AR56" s="28">
        <f t="shared" si="39"/>
      </c>
      <c r="AS56" s="28">
        <f t="shared" si="39"/>
      </c>
      <c r="AT56" s="28">
        <f t="shared" si="39"/>
      </c>
      <c r="AU56" s="28">
        <f t="shared" si="39"/>
      </c>
      <c r="AV56" s="28">
        <f t="shared" si="39"/>
      </c>
      <c r="AW56" s="28">
        <f t="shared" si="39"/>
      </c>
      <c r="AX56" s="28">
        <f t="shared" si="39"/>
      </c>
      <c r="AY56" s="28">
        <f t="shared" si="39"/>
      </c>
      <c r="AZ56" s="28">
        <f t="shared" si="39"/>
      </c>
      <c r="BA56" s="28">
        <f t="shared" si="39"/>
      </c>
      <c r="BB56" s="28">
        <f t="shared" si="39"/>
      </c>
      <c r="BC56" s="28">
        <f t="shared" si="39"/>
      </c>
      <c r="BD56" s="28">
        <f t="shared" si="39"/>
      </c>
      <c r="BE56" s="28" t="str">
        <f t="shared" si="29"/>
        <v>  |</v>
      </c>
      <c r="BG56" s="21">
        <f>IF(I42&gt;=1.35,IF(I42&lt;1.45,1,0),0)</f>
        <v>0</v>
      </c>
      <c r="BL56" s="12"/>
      <c r="BM56" s="10"/>
      <c r="BN56" s="33"/>
      <c r="BO56" s="33">
        <f>IF(I43&gt;=0.755,IF(I43&lt;0.815,1,0),0)</f>
        <v>0</v>
      </c>
      <c r="BP56" s="33"/>
      <c r="BQ56" s="10"/>
      <c r="BR56" s="39" t="s">
        <v>121</v>
      </c>
      <c r="BV56" s="21" t="s">
        <v>1</v>
      </c>
    </row>
    <row r="57" spans="13:74" ht="19.5" customHeight="1">
      <c r="M57" s="21" t="s">
        <v>1</v>
      </c>
      <c r="Q57" s="28" t="str">
        <f t="shared" si="25"/>
        <v>  |</v>
      </c>
      <c r="R57" s="28">
        <f aca="true" t="shared" si="40" ref="R57:AJ57">IF(R93=1,$I$46,"")</f>
      </c>
      <c r="S57" s="28">
        <f t="shared" si="40"/>
      </c>
      <c r="T57" s="28">
        <f t="shared" si="40"/>
      </c>
      <c r="U57" s="28">
        <f t="shared" si="40"/>
      </c>
      <c r="V57" s="28">
        <f t="shared" si="40"/>
      </c>
      <c r="W57" s="28">
        <f t="shared" si="40"/>
      </c>
      <c r="X57" s="28">
        <f t="shared" si="40"/>
      </c>
      <c r="Y57" s="28">
        <f t="shared" si="40"/>
      </c>
      <c r="Z57" s="28">
        <f t="shared" si="40"/>
      </c>
      <c r="AA57" s="28">
        <f t="shared" si="40"/>
      </c>
      <c r="AB57" s="28">
        <f t="shared" si="40"/>
      </c>
      <c r="AC57" s="28">
        <f t="shared" si="40"/>
      </c>
      <c r="AD57" s="28">
        <f t="shared" si="40"/>
      </c>
      <c r="AE57" s="28">
        <f t="shared" si="40"/>
      </c>
      <c r="AF57" s="28">
        <f t="shared" si="40"/>
      </c>
      <c r="AG57" s="28">
        <f t="shared" si="40"/>
      </c>
      <c r="AH57" s="28">
        <f t="shared" si="40"/>
      </c>
      <c r="AI57" s="28">
        <f t="shared" si="40"/>
      </c>
      <c r="AJ57" s="28">
        <f t="shared" si="40"/>
      </c>
      <c r="AK57" s="28" t="str">
        <f t="shared" si="27"/>
        <v>  |</v>
      </c>
      <c r="AL57" s="28">
        <f aca="true" t="shared" si="41" ref="AL57:BD57">IF(AL93=1,$I$46,"")</f>
      </c>
      <c r="AM57" s="28">
        <f t="shared" si="41"/>
      </c>
      <c r="AN57" s="28">
        <f t="shared" si="41"/>
      </c>
      <c r="AO57" s="28">
        <f t="shared" si="41"/>
      </c>
      <c r="AP57" s="28">
        <f t="shared" si="41"/>
      </c>
      <c r="AQ57" s="28">
        <f t="shared" si="41"/>
      </c>
      <c r="AR57" s="28">
        <f t="shared" si="41"/>
      </c>
      <c r="AS57" s="28">
        <f t="shared" si="41"/>
      </c>
      <c r="AT57" s="28">
        <f t="shared" si="41"/>
      </c>
      <c r="AU57" s="28">
        <f t="shared" si="41"/>
      </c>
      <c r="AV57" s="28">
        <f t="shared" si="41"/>
      </c>
      <c r="AW57" s="28">
        <f t="shared" si="41"/>
      </c>
      <c r="AX57" s="28">
        <f t="shared" si="41"/>
      </c>
      <c r="AY57" s="28">
        <f t="shared" si="41"/>
      </c>
      <c r="AZ57" s="28">
        <f t="shared" si="41"/>
      </c>
      <c r="BA57" s="28">
        <f t="shared" si="41"/>
      </c>
      <c r="BB57" s="28">
        <f t="shared" si="41"/>
      </c>
      <c r="BC57" s="28">
        <f t="shared" si="41"/>
      </c>
      <c r="BD57" s="28">
        <f t="shared" si="41"/>
      </c>
      <c r="BE57" s="28" t="str">
        <f t="shared" si="29"/>
        <v>  |</v>
      </c>
      <c r="BG57" s="21">
        <f>IF(I42&gt;=1.25,IF(I42&lt;1.35,1,0),0)</f>
        <v>0</v>
      </c>
      <c r="BL57" s="12" t="s">
        <v>22</v>
      </c>
      <c r="BM57" s="10"/>
      <c r="BN57" s="33"/>
      <c r="BO57" s="33">
        <f>IF(I43&gt;=0.695,IF(I43&lt;0.755,1,0),0)</f>
        <v>0</v>
      </c>
      <c r="BP57" s="33"/>
      <c r="BQ57" s="10"/>
      <c r="BV57" s="21" t="s">
        <v>1</v>
      </c>
    </row>
    <row r="58" spans="13:74" ht="19.5" customHeight="1">
      <c r="M58" s="21" t="s">
        <v>1</v>
      </c>
      <c r="O58" s="21" t="s">
        <v>91</v>
      </c>
      <c r="Q58" s="28" t="str">
        <f t="shared" si="25"/>
        <v>  |</v>
      </c>
      <c r="R58" s="28">
        <f aca="true" t="shared" si="42" ref="R58:AJ58">IF(R94=1,$I$46,"")</f>
      </c>
      <c r="S58" s="28">
        <f t="shared" si="42"/>
      </c>
      <c r="T58" s="28">
        <f t="shared" si="42"/>
      </c>
      <c r="U58" s="28">
        <f t="shared" si="42"/>
      </c>
      <c r="V58" s="28">
        <f t="shared" si="42"/>
      </c>
      <c r="W58" s="28">
        <f t="shared" si="42"/>
      </c>
      <c r="X58" s="28">
        <f t="shared" si="42"/>
      </c>
      <c r="Y58" s="28">
        <f t="shared" si="42"/>
      </c>
      <c r="Z58" s="28">
        <f t="shared" si="42"/>
      </c>
      <c r="AA58" s="28">
        <f t="shared" si="42"/>
      </c>
      <c r="AB58" s="28">
        <f t="shared" si="42"/>
      </c>
      <c r="AC58" s="28">
        <f t="shared" si="42"/>
      </c>
      <c r="AD58" s="28">
        <f t="shared" si="42"/>
      </c>
      <c r="AE58" s="28">
        <f t="shared" si="42"/>
      </c>
      <c r="AF58" s="28">
        <f t="shared" si="42"/>
      </c>
      <c r="AG58" s="28">
        <f t="shared" si="42"/>
      </c>
      <c r="AH58" s="28">
        <f t="shared" si="42"/>
      </c>
      <c r="AI58" s="28">
        <f t="shared" si="42"/>
      </c>
      <c r="AJ58" s="28">
        <f t="shared" si="42"/>
      </c>
      <c r="AK58" s="28" t="str">
        <f t="shared" si="27"/>
        <v>  |</v>
      </c>
      <c r="AL58" s="28">
        <f aca="true" t="shared" si="43" ref="AL58:BD58">IF(AL94=1,$I$46,"")</f>
      </c>
      <c r="AM58" s="28">
        <f t="shared" si="43"/>
      </c>
      <c r="AN58" s="28">
        <f t="shared" si="43"/>
      </c>
      <c r="AO58" s="28">
        <f t="shared" si="43"/>
      </c>
      <c r="AP58" s="28">
        <f t="shared" si="43"/>
      </c>
      <c r="AQ58" s="28">
        <f t="shared" si="43"/>
      </c>
      <c r="AR58" s="28">
        <f t="shared" si="43"/>
      </c>
      <c r="AS58" s="28">
        <f t="shared" si="43"/>
      </c>
      <c r="AT58" s="28">
        <f t="shared" si="43"/>
      </c>
      <c r="AU58" s="28">
        <f t="shared" si="43"/>
      </c>
      <c r="AV58" s="28">
        <f t="shared" si="43"/>
      </c>
      <c r="AW58" s="28">
        <f t="shared" si="43"/>
      </c>
      <c r="AX58" s="28">
        <f t="shared" si="43"/>
      </c>
      <c r="AY58" s="28">
        <f t="shared" si="43"/>
      </c>
      <c r="AZ58" s="28">
        <f t="shared" si="43"/>
      </c>
      <c r="BA58" s="28">
        <f t="shared" si="43"/>
      </c>
      <c r="BB58" s="28">
        <f t="shared" si="43"/>
      </c>
      <c r="BC58" s="28">
        <f t="shared" si="43"/>
      </c>
      <c r="BD58" s="28">
        <f t="shared" si="43"/>
      </c>
      <c r="BE58" s="28" t="str">
        <f t="shared" si="29"/>
        <v>  |</v>
      </c>
      <c r="BG58" s="21">
        <f>IF(I42&gt;=1.15,IF(I42&lt;1.25,1,0),0)</f>
        <v>0</v>
      </c>
      <c r="BL58" s="12"/>
      <c r="BM58" s="10"/>
      <c r="BN58" s="33"/>
      <c r="BO58" s="33">
        <f>IF(I43&gt;=0.635,IF(I43&lt;0.695,1,0),0)</f>
        <v>0</v>
      </c>
      <c r="BP58" s="33"/>
      <c r="BQ58" s="10"/>
      <c r="BR58" s="39" t="s">
        <v>108</v>
      </c>
      <c r="BV58" s="21" t="s">
        <v>1</v>
      </c>
    </row>
    <row r="59" spans="13:74" ht="19.5" customHeight="1">
      <c r="M59" s="21" t="s">
        <v>1</v>
      </c>
      <c r="Q59" s="28" t="str">
        <f t="shared" si="25"/>
        <v>  |</v>
      </c>
      <c r="R59" s="28">
        <f aca="true" t="shared" si="44" ref="R59:AJ59">IF(R95=1,$I$46,"")</f>
      </c>
      <c r="S59" s="28">
        <f t="shared" si="44"/>
      </c>
      <c r="T59" s="28">
        <f t="shared" si="44"/>
      </c>
      <c r="U59" s="28">
        <f t="shared" si="44"/>
      </c>
      <c r="V59" s="28">
        <f t="shared" si="44"/>
      </c>
      <c r="W59" s="28">
        <f t="shared" si="44"/>
      </c>
      <c r="X59" s="28">
        <f t="shared" si="44"/>
      </c>
      <c r="Y59" s="28">
        <f t="shared" si="44"/>
      </c>
      <c r="Z59" s="28">
        <f t="shared" si="44"/>
      </c>
      <c r="AA59" s="28">
        <f t="shared" si="44"/>
      </c>
      <c r="AB59" s="28">
        <f t="shared" si="44"/>
      </c>
      <c r="AC59" s="28">
        <f t="shared" si="44"/>
      </c>
      <c r="AD59" s="28">
        <f t="shared" si="44"/>
      </c>
      <c r="AE59" s="28">
        <f t="shared" si="44"/>
      </c>
      <c r="AF59" s="28">
        <f t="shared" si="44"/>
      </c>
      <c r="AG59" s="28">
        <f t="shared" si="44"/>
      </c>
      <c r="AH59" s="28">
        <f t="shared" si="44"/>
      </c>
      <c r="AI59" s="28">
        <f t="shared" si="44"/>
      </c>
      <c r="AJ59" s="28">
        <f t="shared" si="44"/>
      </c>
      <c r="AK59" s="28" t="str">
        <f t="shared" si="27"/>
        <v>  |</v>
      </c>
      <c r="AL59" s="28">
        <f aca="true" t="shared" si="45" ref="AL59:BD59">IF(AL95=1,$I$46,"")</f>
      </c>
      <c r="AM59" s="28">
        <f t="shared" si="45"/>
      </c>
      <c r="AN59" s="28">
        <f t="shared" si="45"/>
      </c>
      <c r="AO59" s="28">
        <f t="shared" si="45"/>
      </c>
      <c r="AP59" s="28">
        <f t="shared" si="45"/>
      </c>
      <c r="AQ59" s="28">
        <f t="shared" si="45"/>
      </c>
      <c r="AR59" s="28">
        <f t="shared" si="45"/>
      </c>
      <c r="AS59" s="28">
        <f t="shared" si="45"/>
      </c>
      <c r="AT59" s="28">
        <f t="shared" si="45"/>
      </c>
      <c r="AU59" s="28">
        <f t="shared" si="45"/>
      </c>
      <c r="AV59" s="28">
        <f t="shared" si="45"/>
      </c>
      <c r="AW59" s="28">
        <f t="shared" si="45"/>
      </c>
      <c r="AX59" s="28">
        <f t="shared" si="45"/>
      </c>
      <c r="AY59" s="28">
        <f t="shared" si="45"/>
      </c>
      <c r="AZ59" s="28">
        <f t="shared" si="45"/>
      </c>
      <c r="BA59" s="28">
        <f t="shared" si="45"/>
      </c>
      <c r="BB59" s="28">
        <f t="shared" si="45"/>
      </c>
      <c r="BC59" s="28">
        <f t="shared" si="45"/>
      </c>
      <c r="BD59" s="28">
        <f t="shared" si="45"/>
      </c>
      <c r="BE59" s="28" t="str">
        <f t="shared" si="29"/>
        <v>  |</v>
      </c>
      <c r="BG59" s="21">
        <f>IF(I42&gt;=1.05,IF(I42&lt;1.15,1,0),0)</f>
        <v>0</v>
      </c>
      <c r="BL59" s="35" t="s">
        <v>27</v>
      </c>
      <c r="BM59" s="24"/>
      <c r="BN59" s="33"/>
      <c r="BO59" s="33">
        <f>IF(I43&gt;=0.565,IF(I43&lt;0.635,1,0),0)</f>
        <v>0</v>
      </c>
      <c r="BP59" s="33"/>
      <c r="BQ59" s="24"/>
      <c r="BV59" s="21" t="s">
        <v>1</v>
      </c>
    </row>
    <row r="60" spans="13:74" ht="19.5" customHeight="1">
      <c r="M60" s="21" t="s">
        <v>1</v>
      </c>
      <c r="O60" s="28" t="s">
        <v>92</v>
      </c>
      <c r="P60" s="28"/>
      <c r="Q60" s="28" t="str">
        <f aca="true" t="shared" si="46" ref="Q60:BE60">IF(Q96=1,$I$46,"--")</f>
        <v>--</v>
      </c>
      <c r="R60" s="28" t="str">
        <f t="shared" si="46"/>
        <v>--</v>
      </c>
      <c r="S60" s="28" t="str">
        <f t="shared" si="46"/>
        <v>--</v>
      </c>
      <c r="T60" s="28" t="str">
        <f t="shared" si="46"/>
        <v>--</v>
      </c>
      <c r="U60" s="28" t="str">
        <f t="shared" si="46"/>
        <v>--</v>
      </c>
      <c r="V60" s="28" t="str">
        <f t="shared" si="46"/>
        <v>--</v>
      </c>
      <c r="W60" s="28" t="str">
        <f t="shared" si="46"/>
        <v>--</v>
      </c>
      <c r="X60" s="28" t="str">
        <f t="shared" si="46"/>
        <v>--</v>
      </c>
      <c r="Y60" s="28" t="str">
        <f t="shared" si="46"/>
        <v>--</v>
      </c>
      <c r="Z60" s="28" t="str">
        <f t="shared" si="46"/>
        <v>--</v>
      </c>
      <c r="AA60" s="28" t="str">
        <f t="shared" si="46"/>
        <v>--</v>
      </c>
      <c r="AB60" s="28" t="str">
        <f t="shared" si="46"/>
        <v>--</v>
      </c>
      <c r="AC60" s="28" t="str">
        <f t="shared" si="46"/>
        <v>--</v>
      </c>
      <c r="AD60" s="28" t="str">
        <f t="shared" si="46"/>
        <v>--</v>
      </c>
      <c r="AE60" s="28" t="str">
        <f t="shared" si="46"/>
        <v>--</v>
      </c>
      <c r="AF60" s="28" t="str">
        <f t="shared" si="46"/>
        <v>--</v>
      </c>
      <c r="AG60" s="28" t="str">
        <f t="shared" si="46"/>
        <v>--</v>
      </c>
      <c r="AH60" s="28" t="str">
        <f t="shared" si="46"/>
        <v>--</v>
      </c>
      <c r="AI60" s="28" t="str">
        <f t="shared" si="46"/>
        <v>--</v>
      </c>
      <c r="AJ60" s="28" t="str">
        <f t="shared" si="46"/>
        <v>--</v>
      </c>
      <c r="AK60" s="28" t="str">
        <f t="shared" si="46"/>
        <v>--</v>
      </c>
      <c r="AL60" s="28" t="str">
        <f t="shared" si="46"/>
        <v>--</v>
      </c>
      <c r="AM60" s="28" t="str">
        <f t="shared" si="46"/>
        <v>--</v>
      </c>
      <c r="AN60" s="28" t="str">
        <f t="shared" si="46"/>
        <v>--</v>
      </c>
      <c r="AO60" s="28" t="str">
        <f t="shared" si="46"/>
        <v>--</v>
      </c>
      <c r="AP60" s="28" t="str">
        <f t="shared" si="46"/>
        <v>--</v>
      </c>
      <c r="AQ60" s="28" t="str">
        <f t="shared" si="46"/>
        <v>--</v>
      </c>
      <c r="AR60" s="28" t="str">
        <f t="shared" si="46"/>
        <v>--</v>
      </c>
      <c r="AS60" s="28" t="str">
        <f t="shared" si="46"/>
        <v>--</v>
      </c>
      <c r="AT60" s="28" t="str">
        <f t="shared" si="46"/>
        <v>--</v>
      </c>
      <c r="AU60" s="28" t="str">
        <f t="shared" si="46"/>
        <v>--</v>
      </c>
      <c r="AV60" s="28" t="str">
        <f t="shared" si="46"/>
        <v>--</v>
      </c>
      <c r="AW60" s="28" t="str">
        <f t="shared" si="46"/>
        <v>--</v>
      </c>
      <c r="AX60" s="28" t="str">
        <f t="shared" si="46"/>
        <v>--</v>
      </c>
      <c r="AY60" s="28" t="str">
        <f t="shared" si="46"/>
        <v>--</v>
      </c>
      <c r="AZ60" s="28" t="str">
        <f t="shared" si="46"/>
        <v>--</v>
      </c>
      <c r="BA60" s="28" t="str">
        <f t="shared" si="46"/>
        <v>--</v>
      </c>
      <c r="BB60" s="28" t="str">
        <f t="shared" si="46"/>
        <v>--</v>
      </c>
      <c r="BC60" s="28" t="str">
        <f t="shared" si="46"/>
        <v>--</v>
      </c>
      <c r="BD60" s="28" t="str">
        <f t="shared" si="46"/>
        <v>--</v>
      </c>
      <c r="BE60" s="28" t="str">
        <f t="shared" si="46"/>
        <v>--</v>
      </c>
      <c r="BG60" s="21">
        <f>IF(I42&gt;=0.95,IF(I42&lt;1.05,1,0),0)</f>
        <v>0</v>
      </c>
      <c r="BL60" s="12"/>
      <c r="BM60" s="10"/>
      <c r="BN60" s="33"/>
      <c r="BO60" s="33">
        <f>IF(I43&gt;=0.495,IF(I43&lt;0.565,1,0),0)</f>
        <v>0</v>
      </c>
      <c r="BP60" s="33"/>
      <c r="BQ60" s="10"/>
      <c r="BR60" s="39" t="s">
        <v>109</v>
      </c>
      <c r="BV60" s="21" t="s">
        <v>1</v>
      </c>
    </row>
    <row r="61" spans="13:74" ht="19.5" customHeight="1">
      <c r="M61" s="21" t="s">
        <v>1</v>
      </c>
      <c r="Q61" s="28" t="str">
        <f aca="true" t="shared" si="47" ref="Q61:Q69">IF(Q97=1,$I$46,"  |")</f>
        <v>  |</v>
      </c>
      <c r="R61" s="28">
        <f aca="true" t="shared" si="48" ref="R61:AJ61">IF(R97=1,$I$46,"")</f>
      </c>
      <c r="S61" s="28">
        <f t="shared" si="48"/>
      </c>
      <c r="T61" s="28">
        <f t="shared" si="48"/>
      </c>
      <c r="U61" s="28">
        <f t="shared" si="48"/>
      </c>
      <c r="V61" s="28">
        <f t="shared" si="48"/>
      </c>
      <c r="W61" s="28">
        <f t="shared" si="48"/>
      </c>
      <c r="X61" s="28">
        <f t="shared" si="48"/>
      </c>
      <c r="Y61" s="28">
        <f t="shared" si="48"/>
      </c>
      <c r="Z61" s="28">
        <f t="shared" si="48"/>
      </c>
      <c r="AA61" s="28">
        <f t="shared" si="48"/>
      </c>
      <c r="AB61" s="28">
        <f t="shared" si="48"/>
      </c>
      <c r="AC61" s="28">
        <f t="shared" si="48"/>
      </c>
      <c r="AD61" s="28">
        <f t="shared" si="48"/>
      </c>
      <c r="AE61" s="28">
        <f t="shared" si="48"/>
      </c>
      <c r="AF61" s="28">
        <f t="shared" si="48"/>
      </c>
      <c r="AG61" s="28">
        <f t="shared" si="48"/>
      </c>
      <c r="AH61" s="28">
        <f t="shared" si="48"/>
      </c>
      <c r="AI61" s="28">
        <f t="shared" si="48"/>
      </c>
      <c r="AJ61" s="28">
        <f t="shared" si="48"/>
      </c>
      <c r="AK61" s="28" t="str">
        <f aca="true" t="shared" si="49" ref="AK61:AK69">IF(AK97=1,$I$46,"  |")</f>
        <v>  |</v>
      </c>
      <c r="AL61" s="28">
        <f aca="true" t="shared" si="50" ref="AL61:BD61">IF(AL97=1,$I$46,"")</f>
      </c>
      <c r="AM61" s="28">
        <f t="shared" si="50"/>
      </c>
      <c r="AN61" s="28">
        <f t="shared" si="50"/>
      </c>
      <c r="AO61" s="28">
        <f t="shared" si="50"/>
      </c>
      <c r="AP61" s="28">
        <f t="shared" si="50"/>
      </c>
      <c r="AQ61" s="28">
        <f t="shared" si="50"/>
      </c>
      <c r="AR61" s="28">
        <f t="shared" si="50"/>
      </c>
      <c r="AS61" s="28">
        <f t="shared" si="50"/>
      </c>
      <c r="AT61" s="28">
        <f t="shared" si="50"/>
      </c>
      <c r="AU61" s="28">
        <f t="shared" si="50"/>
      </c>
      <c r="AV61" s="28">
        <f t="shared" si="50"/>
      </c>
      <c r="AW61" s="28">
        <f t="shared" si="50"/>
      </c>
      <c r="AX61" s="28">
        <f t="shared" si="50"/>
      </c>
      <c r="AY61" s="28">
        <f t="shared" si="50"/>
      </c>
      <c r="AZ61" s="28">
        <f t="shared" si="50"/>
      </c>
      <c r="BA61" s="28">
        <f t="shared" si="50"/>
      </c>
      <c r="BB61" s="28">
        <f t="shared" si="50"/>
      </c>
      <c r="BC61" s="28">
        <f t="shared" si="50"/>
      </c>
      <c r="BD61" s="28">
        <f t="shared" si="50"/>
      </c>
      <c r="BE61" s="28" t="str">
        <f aca="true" t="shared" si="51" ref="BE61:BE69">IF(BE97=1,$I$46,"  |")</f>
        <v>  |</v>
      </c>
      <c r="BG61" s="21">
        <f>IF(I42&gt;=0.85,IF(I42&lt;0.95,1,0),0)</f>
        <v>0</v>
      </c>
      <c r="BL61" s="12" t="s">
        <v>31</v>
      </c>
      <c r="BM61" s="10"/>
      <c r="BN61" s="33"/>
      <c r="BO61" s="33">
        <f>IF(I43&gt;=0.425,IF(I43&lt;0.495,1,0),0)</f>
        <v>0</v>
      </c>
      <c r="BP61" s="33"/>
      <c r="BQ61" s="10"/>
      <c r="BV61" s="21" t="s">
        <v>1</v>
      </c>
    </row>
    <row r="62" spans="13:74" ht="19.5" customHeight="1">
      <c r="M62" s="21" t="s">
        <v>1</v>
      </c>
      <c r="O62" s="21" t="s">
        <v>93</v>
      </c>
      <c r="Q62" s="28" t="str">
        <f t="shared" si="47"/>
        <v>  |</v>
      </c>
      <c r="R62" s="28">
        <f aca="true" t="shared" si="52" ref="R62:AJ62">IF(R98=1,$I$46,"")</f>
      </c>
      <c r="S62" s="28">
        <f t="shared" si="52"/>
      </c>
      <c r="T62" s="28">
        <f t="shared" si="52"/>
      </c>
      <c r="U62" s="28">
        <f t="shared" si="52"/>
      </c>
      <c r="V62" s="28">
        <f t="shared" si="52"/>
      </c>
      <c r="W62" s="28">
        <f t="shared" si="52"/>
      </c>
      <c r="X62" s="28">
        <f t="shared" si="52"/>
      </c>
      <c r="Y62" s="28">
        <f t="shared" si="52"/>
      </c>
      <c r="Z62" s="28">
        <f t="shared" si="52"/>
      </c>
      <c r="AA62" s="28">
        <f t="shared" si="52"/>
      </c>
      <c r="AB62" s="28">
        <f t="shared" si="52"/>
      </c>
      <c r="AC62" s="28">
        <f t="shared" si="52"/>
      </c>
      <c r="AD62" s="28">
        <f t="shared" si="52"/>
      </c>
      <c r="AE62" s="28">
        <f t="shared" si="52"/>
      </c>
      <c r="AF62" s="28">
        <f t="shared" si="52"/>
      </c>
      <c r="AG62" s="28">
        <f t="shared" si="52"/>
      </c>
      <c r="AH62" s="28">
        <f t="shared" si="52"/>
      </c>
      <c r="AI62" s="28">
        <f t="shared" si="52"/>
      </c>
      <c r="AJ62" s="28">
        <f t="shared" si="52"/>
      </c>
      <c r="AK62" s="28" t="str">
        <f t="shared" si="49"/>
        <v>  |</v>
      </c>
      <c r="AL62" s="28">
        <f aca="true" t="shared" si="53" ref="AL62:BD62">IF(AL98=1,$I$46,"")</f>
      </c>
      <c r="AM62" s="28">
        <f t="shared" si="53"/>
      </c>
      <c r="AN62" s="28">
        <f t="shared" si="53"/>
      </c>
      <c r="AO62" s="28">
        <f t="shared" si="53"/>
      </c>
      <c r="AP62" s="28">
        <f t="shared" si="53"/>
      </c>
      <c r="AQ62" s="28">
        <f t="shared" si="53"/>
      </c>
      <c r="AR62" s="28">
        <f t="shared" si="53"/>
      </c>
      <c r="AS62" s="28">
        <f t="shared" si="53"/>
      </c>
      <c r="AT62" s="28">
        <f t="shared" si="53"/>
      </c>
      <c r="AU62" s="28">
        <f t="shared" si="53"/>
      </c>
      <c r="AV62" s="28">
        <f t="shared" si="53"/>
      </c>
      <c r="AW62" s="28">
        <f t="shared" si="53"/>
      </c>
      <c r="AX62" s="28">
        <f t="shared" si="53"/>
      </c>
      <c r="AY62" s="28">
        <f t="shared" si="53"/>
      </c>
      <c r="AZ62" s="28">
        <f t="shared" si="53"/>
      </c>
      <c r="BA62" s="28">
        <f t="shared" si="53"/>
      </c>
      <c r="BB62" s="28">
        <f t="shared" si="53"/>
      </c>
      <c r="BC62" s="28">
        <f t="shared" si="53"/>
      </c>
      <c r="BD62" s="28">
        <f t="shared" si="53"/>
      </c>
      <c r="BE62" s="28" t="str">
        <f t="shared" si="51"/>
        <v>  |</v>
      </c>
      <c r="BG62" s="21">
        <f>IF(I42&gt;=0.75,IF(I42&lt;0.85,1,0),0)</f>
        <v>0</v>
      </c>
      <c r="BL62" s="12"/>
      <c r="BM62" s="10"/>
      <c r="BN62" s="33"/>
      <c r="BO62" s="33">
        <f>IF(I43&gt;=0.345,IF(I43&lt;0.425,1,0),0)</f>
        <v>0</v>
      </c>
      <c r="BP62" s="33"/>
      <c r="BQ62" s="10"/>
      <c r="BR62" s="39" t="s">
        <v>122</v>
      </c>
      <c r="BV62" s="21" t="s">
        <v>1</v>
      </c>
    </row>
    <row r="63" spans="13:74" ht="19.5" customHeight="1">
      <c r="M63" s="21" t="s">
        <v>1</v>
      </c>
      <c r="Q63" s="28" t="str">
        <f t="shared" si="47"/>
        <v>  |</v>
      </c>
      <c r="R63" s="28">
        <f aca="true" t="shared" si="54" ref="R63:AJ63">IF(R99=1,$I$46,"")</f>
      </c>
      <c r="S63" s="28">
        <f t="shared" si="54"/>
      </c>
      <c r="T63" s="28">
        <f t="shared" si="54"/>
      </c>
      <c r="U63" s="28">
        <f t="shared" si="54"/>
      </c>
      <c r="V63" s="28">
        <f t="shared" si="54"/>
      </c>
      <c r="W63" s="28">
        <f t="shared" si="54"/>
      </c>
      <c r="X63" s="28">
        <f t="shared" si="54"/>
      </c>
      <c r="Y63" s="28">
        <f t="shared" si="54"/>
      </c>
      <c r="Z63" s="28">
        <f t="shared" si="54"/>
      </c>
      <c r="AA63" s="28">
        <f t="shared" si="54"/>
      </c>
      <c r="AB63" s="28">
        <f t="shared" si="54"/>
      </c>
      <c r="AC63" s="28">
        <f t="shared" si="54"/>
      </c>
      <c r="AD63" s="28">
        <f t="shared" si="54"/>
      </c>
      <c r="AE63" s="28">
        <f t="shared" si="54"/>
      </c>
      <c r="AF63" s="28">
        <f t="shared" si="54"/>
      </c>
      <c r="AG63" s="28">
        <f t="shared" si="54"/>
      </c>
      <c r="AH63" s="28">
        <f t="shared" si="54"/>
      </c>
      <c r="AI63" s="28">
        <f t="shared" si="54"/>
      </c>
      <c r="AJ63" s="28">
        <f t="shared" si="54"/>
      </c>
      <c r="AK63" s="28" t="str">
        <f t="shared" si="49"/>
        <v>  |</v>
      </c>
      <c r="AL63" s="28">
        <f aca="true" t="shared" si="55" ref="AL63:BD63">IF(AL99=1,$I$46,"")</f>
      </c>
      <c r="AM63" s="28">
        <f t="shared" si="55"/>
      </c>
      <c r="AN63" s="28">
        <f t="shared" si="55"/>
      </c>
      <c r="AO63" s="28">
        <f t="shared" si="55"/>
      </c>
      <c r="AP63" s="28">
        <f t="shared" si="55"/>
      </c>
      <c r="AQ63" s="28">
        <f t="shared" si="55"/>
      </c>
      <c r="AR63" s="28">
        <f t="shared" si="55"/>
      </c>
      <c r="AS63" s="28">
        <f t="shared" si="55"/>
      </c>
      <c r="AT63" s="28">
        <f t="shared" si="55"/>
      </c>
      <c r="AU63" s="28">
        <f t="shared" si="55"/>
      </c>
      <c r="AV63" s="28">
        <f t="shared" si="55"/>
      </c>
      <c r="AW63" s="28">
        <f t="shared" si="55"/>
      </c>
      <c r="AX63" s="28">
        <f t="shared" si="55"/>
      </c>
      <c r="AY63" s="28">
        <f t="shared" si="55"/>
      </c>
      <c r="AZ63" s="28">
        <f t="shared" si="55"/>
      </c>
      <c r="BA63" s="28">
        <f t="shared" si="55"/>
      </c>
      <c r="BB63" s="28">
        <f t="shared" si="55"/>
      </c>
      <c r="BC63" s="28">
        <f t="shared" si="55"/>
      </c>
      <c r="BD63" s="28">
        <f t="shared" si="55"/>
      </c>
      <c r="BE63" s="28" t="str">
        <f t="shared" si="51"/>
        <v>  |</v>
      </c>
      <c r="BG63" s="21">
        <f>IF(I42&gt;=0.65,IF(I42&lt;0.75,1,0),0)</f>
        <v>0</v>
      </c>
      <c r="BL63" s="12" t="s">
        <v>34</v>
      </c>
      <c r="BM63" s="10"/>
      <c r="BN63" s="33"/>
      <c r="BO63" s="33">
        <f>IF(I43&gt;=0.305,IF(I43&lt;0.345,1,0),0)</f>
        <v>0</v>
      </c>
      <c r="BP63" s="33"/>
      <c r="BQ63" s="10"/>
      <c r="BV63" s="21" t="s">
        <v>1</v>
      </c>
    </row>
    <row r="64" spans="13:74" ht="19.5" customHeight="1">
      <c r="M64" s="21" t="s">
        <v>1</v>
      </c>
      <c r="O64" s="21" t="s">
        <v>94</v>
      </c>
      <c r="Q64" s="28" t="str">
        <f t="shared" si="47"/>
        <v>  |</v>
      </c>
      <c r="R64" s="28">
        <f aca="true" t="shared" si="56" ref="R64:AJ64">IF(R100=1,$I$46,"")</f>
      </c>
      <c r="S64" s="28">
        <f t="shared" si="56"/>
      </c>
      <c r="T64" s="28">
        <f t="shared" si="56"/>
      </c>
      <c r="U64" s="28">
        <f t="shared" si="56"/>
      </c>
      <c r="V64" s="28">
        <f t="shared" si="56"/>
      </c>
      <c r="W64" s="28">
        <f t="shared" si="56"/>
      </c>
      <c r="X64" s="28">
        <f t="shared" si="56"/>
      </c>
      <c r="Y64" s="28">
        <f t="shared" si="56"/>
      </c>
      <c r="Z64" s="28">
        <f t="shared" si="56"/>
      </c>
      <c r="AA64" s="28">
        <f t="shared" si="56"/>
      </c>
      <c r="AB64" s="28">
        <f t="shared" si="56"/>
      </c>
      <c r="AC64" s="28">
        <f t="shared" si="56"/>
      </c>
      <c r="AD64" s="28">
        <f t="shared" si="56"/>
      </c>
      <c r="AE64" s="28">
        <f t="shared" si="56"/>
      </c>
      <c r="AF64" s="28">
        <f t="shared" si="56"/>
      </c>
      <c r="AG64" s="28">
        <f t="shared" si="56"/>
      </c>
      <c r="AH64" s="28">
        <f t="shared" si="56"/>
      </c>
      <c r="AI64" s="28">
        <f t="shared" si="56"/>
      </c>
      <c r="AJ64" s="28">
        <f t="shared" si="56"/>
      </c>
      <c r="AK64" s="28" t="str">
        <f t="shared" si="49"/>
        <v>  |</v>
      </c>
      <c r="AL64" s="28">
        <f aca="true" t="shared" si="57" ref="AL64:BD64">IF(AL100=1,$I$46,"")</f>
      </c>
      <c r="AM64" s="28">
        <f t="shared" si="57"/>
      </c>
      <c r="AN64" s="28">
        <f t="shared" si="57"/>
      </c>
      <c r="AO64" s="28">
        <f t="shared" si="57"/>
      </c>
      <c r="AP64" s="28">
        <f t="shared" si="57"/>
      </c>
      <c r="AQ64" s="28">
        <f t="shared" si="57"/>
      </c>
      <c r="AR64" s="28">
        <f t="shared" si="57"/>
      </c>
      <c r="AS64" s="28">
        <f t="shared" si="57"/>
      </c>
      <c r="AT64" s="28">
        <f t="shared" si="57"/>
      </c>
      <c r="AU64" s="28">
        <f t="shared" si="57"/>
      </c>
      <c r="AV64" s="28">
        <f t="shared" si="57"/>
      </c>
      <c r="AW64" s="28">
        <f t="shared" si="57"/>
      </c>
      <c r="AX64" s="28">
        <f t="shared" si="57"/>
      </c>
      <c r="AY64" s="28">
        <f t="shared" si="57"/>
      </c>
      <c r="AZ64" s="28">
        <f t="shared" si="57"/>
      </c>
      <c r="BA64" s="28">
        <f t="shared" si="57"/>
      </c>
      <c r="BB64" s="28">
        <f t="shared" si="57"/>
      </c>
      <c r="BC64" s="28">
        <f t="shared" si="57"/>
      </c>
      <c r="BD64" s="28">
        <f t="shared" si="57"/>
      </c>
      <c r="BE64" s="28" t="str">
        <f t="shared" si="51"/>
        <v>  |</v>
      </c>
      <c r="BG64" s="21">
        <f>IF(I42&gt;=0.55,IF(I42&lt;0.65,1,0),0)</f>
        <v>0</v>
      </c>
      <c r="BL64" s="12"/>
      <c r="BM64" s="10"/>
      <c r="BN64" s="33"/>
      <c r="BO64" s="33">
        <f>IF(I43&gt;=0.265,IF(I43&lt;0.305,1,0),0)</f>
        <v>0</v>
      </c>
      <c r="BP64" s="33"/>
      <c r="BQ64" s="10"/>
      <c r="BR64" s="39" t="s">
        <v>110</v>
      </c>
      <c r="BV64" s="21" t="s">
        <v>1</v>
      </c>
    </row>
    <row r="65" spans="13:74" ht="19.5" customHeight="1">
      <c r="M65" s="21" t="s">
        <v>1</v>
      </c>
      <c r="Q65" s="28" t="str">
        <f t="shared" si="47"/>
        <v>  |</v>
      </c>
      <c r="R65" s="28">
        <f aca="true" t="shared" si="58" ref="R65:AJ65">IF(R101=1,$I$46,"")</f>
      </c>
      <c r="S65" s="28">
        <f t="shared" si="58"/>
      </c>
      <c r="T65" s="28">
        <f t="shared" si="58"/>
      </c>
      <c r="U65" s="28">
        <f t="shared" si="58"/>
      </c>
      <c r="V65" s="28">
        <f t="shared" si="58"/>
      </c>
      <c r="W65" s="28">
        <f t="shared" si="58"/>
      </c>
      <c r="X65" s="28">
        <f t="shared" si="58"/>
      </c>
      <c r="Y65" s="28">
        <f t="shared" si="58"/>
      </c>
      <c r="Z65" s="28">
        <f t="shared" si="58"/>
      </c>
      <c r="AA65" s="28">
        <f t="shared" si="58"/>
      </c>
      <c r="AB65" s="28">
        <f t="shared" si="58"/>
      </c>
      <c r="AC65" s="28">
        <f t="shared" si="58"/>
      </c>
      <c r="AD65" s="28">
        <f t="shared" si="58"/>
      </c>
      <c r="AE65" s="28">
        <f t="shared" si="58"/>
      </c>
      <c r="AF65" s="28">
        <f t="shared" si="58"/>
      </c>
      <c r="AG65" s="28">
        <f t="shared" si="58"/>
      </c>
      <c r="AH65" s="28">
        <f t="shared" si="58"/>
      </c>
      <c r="AI65" s="28">
        <f t="shared" si="58"/>
      </c>
      <c r="AJ65" s="28">
        <f t="shared" si="58"/>
      </c>
      <c r="AK65" s="28" t="str">
        <f t="shared" si="49"/>
        <v>  |</v>
      </c>
      <c r="AL65" s="28">
        <f aca="true" t="shared" si="59" ref="AL65:BD65">IF(AL101=1,$I$46,"")</f>
      </c>
      <c r="AM65" s="28">
        <f t="shared" si="59"/>
      </c>
      <c r="AN65" s="28">
        <f t="shared" si="59"/>
      </c>
      <c r="AO65" s="28">
        <f t="shared" si="59"/>
      </c>
      <c r="AP65" s="28">
        <f t="shared" si="59"/>
      </c>
      <c r="AQ65" s="28">
        <f t="shared" si="59"/>
      </c>
      <c r="AR65" s="28">
        <f t="shared" si="59"/>
      </c>
      <c r="AS65" s="28">
        <f t="shared" si="59"/>
      </c>
      <c r="AT65" s="28">
        <f t="shared" si="59"/>
      </c>
      <c r="AU65" s="28">
        <f t="shared" si="59"/>
      </c>
      <c r="AV65" s="28">
        <f t="shared" si="59"/>
      </c>
      <c r="AW65" s="28">
        <f t="shared" si="59"/>
      </c>
      <c r="AX65" s="28">
        <f t="shared" si="59"/>
      </c>
      <c r="AY65" s="28">
        <f t="shared" si="59"/>
      </c>
      <c r="AZ65" s="28">
        <f t="shared" si="59"/>
      </c>
      <c r="BA65" s="28">
        <f t="shared" si="59"/>
      </c>
      <c r="BB65" s="28">
        <f t="shared" si="59"/>
      </c>
      <c r="BC65" s="28">
        <f t="shared" si="59"/>
      </c>
      <c r="BD65" s="28">
        <f t="shared" si="59"/>
      </c>
      <c r="BE65" s="28" t="str">
        <f t="shared" si="51"/>
        <v>  |</v>
      </c>
      <c r="BG65" s="21">
        <f>IF(I42&gt;=0.45,IF(I42&lt;0.55,1,0),0)</f>
        <v>0</v>
      </c>
      <c r="BL65" s="12" t="s">
        <v>37</v>
      </c>
      <c r="BM65" s="10"/>
      <c r="BN65" s="33"/>
      <c r="BO65" s="33">
        <f>IF(I43&gt;=0.225,IF(I43&lt;0.265,1,0),0)</f>
        <v>0</v>
      </c>
      <c r="BP65" s="33"/>
      <c r="BQ65" s="10"/>
      <c r="BV65" s="21" t="s">
        <v>1</v>
      </c>
    </row>
    <row r="66" spans="13:74" ht="19.5" customHeight="1">
      <c r="M66" s="21" t="s">
        <v>1</v>
      </c>
      <c r="O66" s="21" t="s">
        <v>95</v>
      </c>
      <c r="Q66" s="28" t="str">
        <f t="shared" si="47"/>
        <v>  |</v>
      </c>
      <c r="R66" s="28">
        <f aca="true" t="shared" si="60" ref="R66:AJ66">IF(R102=1,$I$46,"")</f>
      </c>
      <c r="S66" s="28">
        <f t="shared" si="60"/>
      </c>
      <c r="T66" s="28">
        <f t="shared" si="60"/>
      </c>
      <c r="U66" s="28">
        <f t="shared" si="60"/>
      </c>
      <c r="V66" s="28">
        <f t="shared" si="60"/>
      </c>
      <c r="W66" s="28">
        <f t="shared" si="60"/>
      </c>
      <c r="X66" s="28">
        <f t="shared" si="60"/>
      </c>
      <c r="Y66" s="28">
        <f t="shared" si="60"/>
      </c>
      <c r="Z66" s="28">
        <f t="shared" si="60"/>
      </c>
      <c r="AA66" s="28">
        <f t="shared" si="60"/>
      </c>
      <c r="AB66" s="28">
        <f t="shared" si="60"/>
      </c>
      <c r="AC66" s="28">
        <f t="shared" si="60"/>
      </c>
      <c r="AD66" s="28">
        <f t="shared" si="60"/>
      </c>
      <c r="AE66" s="28">
        <f t="shared" si="60"/>
      </c>
      <c r="AF66" s="28">
        <f t="shared" si="60"/>
      </c>
      <c r="AG66" s="28">
        <f t="shared" si="60"/>
      </c>
      <c r="AH66" s="28">
        <f t="shared" si="60"/>
      </c>
      <c r="AI66" s="28">
        <f t="shared" si="60"/>
      </c>
      <c r="AJ66" s="28">
        <f t="shared" si="60"/>
      </c>
      <c r="AK66" s="28" t="str">
        <f t="shared" si="49"/>
        <v>  |</v>
      </c>
      <c r="AL66" s="28">
        <f aca="true" t="shared" si="61" ref="AL66:BD66">IF(AL102=1,$I$46,"")</f>
      </c>
      <c r="AM66" s="28">
        <f t="shared" si="61"/>
      </c>
      <c r="AN66" s="28">
        <f t="shared" si="61"/>
      </c>
      <c r="AO66" s="28">
        <f t="shared" si="61"/>
      </c>
      <c r="AP66" s="28">
        <f t="shared" si="61"/>
      </c>
      <c r="AQ66" s="28">
        <f t="shared" si="61"/>
      </c>
      <c r="AR66" s="28">
        <f t="shared" si="61"/>
      </c>
      <c r="AS66" s="28">
        <f t="shared" si="61"/>
      </c>
      <c r="AT66" s="28">
        <f t="shared" si="61"/>
      </c>
      <c r="AU66" s="28">
        <f t="shared" si="61"/>
      </c>
      <c r="AV66" s="28">
        <f t="shared" si="61"/>
      </c>
      <c r="AW66" s="28">
        <f t="shared" si="61"/>
      </c>
      <c r="AX66" s="28">
        <f t="shared" si="61"/>
      </c>
      <c r="AY66" s="28">
        <f t="shared" si="61"/>
      </c>
      <c r="AZ66" s="28">
        <f t="shared" si="61"/>
      </c>
      <c r="BA66" s="28">
        <f t="shared" si="61"/>
      </c>
      <c r="BB66" s="28">
        <f t="shared" si="61"/>
      </c>
      <c r="BC66" s="28">
        <f t="shared" si="61"/>
      </c>
      <c r="BD66" s="28">
        <f t="shared" si="61"/>
      </c>
      <c r="BE66" s="28" t="str">
        <f t="shared" si="51"/>
        <v>  |</v>
      </c>
      <c r="BG66" s="21">
        <f>IF(I42&gt;=0.35,IF(I42&lt;0.45,1,0),0)</f>
        <v>0</v>
      </c>
      <c r="BL66" s="12"/>
      <c r="BM66" s="10"/>
      <c r="BN66" s="33"/>
      <c r="BO66" s="33">
        <f>IF(I43&gt;=0.185,IF(I43&lt;0.225,1,0),0)</f>
        <v>0</v>
      </c>
      <c r="BP66" s="33"/>
      <c r="BQ66" s="10"/>
      <c r="BR66" s="39" t="s">
        <v>111</v>
      </c>
      <c r="BV66" s="21" t="s">
        <v>1</v>
      </c>
    </row>
    <row r="67" spans="13:74" ht="19.5" customHeight="1">
      <c r="M67" s="21" t="s">
        <v>1</v>
      </c>
      <c r="Q67" s="28" t="str">
        <f t="shared" si="47"/>
        <v>  |</v>
      </c>
      <c r="R67" s="28">
        <f aca="true" t="shared" si="62" ref="R67:AJ67">IF(R103=1,$I$46,"")</f>
      </c>
      <c r="S67" s="28">
        <f t="shared" si="62"/>
      </c>
      <c r="T67" s="28">
        <f t="shared" si="62"/>
      </c>
      <c r="U67" s="28">
        <f t="shared" si="62"/>
      </c>
      <c r="V67" s="28">
        <f t="shared" si="62"/>
      </c>
      <c r="W67" s="28">
        <f t="shared" si="62"/>
      </c>
      <c r="X67" s="28">
        <f t="shared" si="62"/>
      </c>
      <c r="Y67" s="28">
        <f t="shared" si="62"/>
      </c>
      <c r="Z67" s="28">
        <f t="shared" si="62"/>
      </c>
      <c r="AA67" s="28">
        <f t="shared" si="62"/>
      </c>
      <c r="AB67" s="28">
        <f t="shared" si="62"/>
      </c>
      <c r="AC67" s="28">
        <f t="shared" si="62"/>
      </c>
      <c r="AD67" s="28">
        <f t="shared" si="62"/>
      </c>
      <c r="AE67" s="28">
        <f t="shared" si="62"/>
      </c>
      <c r="AF67" s="28">
        <f t="shared" si="62"/>
      </c>
      <c r="AG67" s="28">
        <f t="shared" si="62"/>
      </c>
      <c r="AH67" s="28">
        <f t="shared" si="62"/>
      </c>
      <c r="AI67" s="28">
        <f t="shared" si="62"/>
      </c>
      <c r="AJ67" s="28">
        <f t="shared" si="62"/>
      </c>
      <c r="AK67" s="28" t="str">
        <f t="shared" si="49"/>
        <v>  |</v>
      </c>
      <c r="AL67" s="28">
        <f aca="true" t="shared" si="63" ref="AL67:BD67">IF(AL103=1,$I$46,"")</f>
      </c>
      <c r="AM67" s="28">
        <f t="shared" si="63"/>
      </c>
      <c r="AN67" s="28">
        <f t="shared" si="63"/>
      </c>
      <c r="AO67" s="28">
        <f t="shared" si="63"/>
      </c>
      <c r="AP67" s="28">
        <f t="shared" si="63"/>
      </c>
      <c r="AQ67" s="28">
        <f t="shared" si="63"/>
      </c>
      <c r="AR67" s="28">
        <f t="shared" si="63"/>
      </c>
      <c r="AS67" s="28">
        <f t="shared" si="63"/>
      </c>
      <c r="AT67" s="28">
        <f t="shared" si="63"/>
      </c>
      <c r="AU67" s="28">
        <f t="shared" si="63"/>
      </c>
      <c r="AV67" s="28">
        <f t="shared" si="63"/>
      </c>
      <c r="AW67" s="28">
        <f t="shared" si="63"/>
      </c>
      <c r="AX67" s="28">
        <f t="shared" si="63"/>
      </c>
      <c r="AY67" s="28">
        <f t="shared" si="63"/>
      </c>
      <c r="AZ67" s="28">
        <f t="shared" si="63"/>
      </c>
      <c r="BA67" s="28">
        <f t="shared" si="63"/>
      </c>
      <c r="BB67" s="28">
        <f t="shared" si="63"/>
      </c>
      <c r="BC67" s="28">
        <f t="shared" si="63"/>
      </c>
      <c r="BD67" s="28">
        <f t="shared" si="63"/>
      </c>
      <c r="BE67" s="28" t="str">
        <f t="shared" si="51"/>
        <v>  |</v>
      </c>
      <c r="BG67" s="21">
        <f>IF(I42&gt;=0.25,IF(I42&lt;0.35,1,0),0)</f>
        <v>0</v>
      </c>
      <c r="BL67" s="12" t="s">
        <v>40</v>
      </c>
      <c r="BM67" s="10"/>
      <c r="BN67" s="33"/>
      <c r="BO67" s="33">
        <f>IF(I43&gt;=0.145,IF(I43&lt;0.185,1,0),0)</f>
        <v>0</v>
      </c>
      <c r="BP67" s="33"/>
      <c r="BQ67" s="10"/>
      <c r="BV67" s="21" t="s">
        <v>1</v>
      </c>
    </row>
    <row r="68" spans="13:74" ht="19.5" customHeight="1">
      <c r="M68" s="21" t="s">
        <v>1</v>
      </c>
      <c r="O68" s="21" t="s">
        <v>96</v>
      </c>
      <c r="Q68" s="28" t="str">
        <f t="shared" si="47"/>
        <v>  |</v>
      </c>
      <c r="R68" s="28">
        <f aca="true" t="shared" si="64" ref="R68:AJ68">IF(R104=1,$I$46,"")</f>
      </c>
      <c r="S68" s="28">
        <f t="shared" si="64"/>
      </c>
      <c r="T68" s="28">
        <f t="shared" si="64"/>
      </c>
      <c r="U68" s="28">
        <f t="shared" si="64"/>
      </c>
      <c r="V68" s="28">
        <f t="shared" si="64"/>
      </c>
      <c r="W68" s="28">
        <f t="shared" si="64"/>
      </c>
      <c r="X68" s="28">
        <f t="shared" si="64"/>
      </c>
      <c r="Y68" s="28">
        <f t="shared" si="64"/>
      </c>
      <c r="Z68" s="28">
        <f t="shared" si="64"/>
      </c>
      <c r="AA68" s="28">
        <f t="shared" si="64"/>
      </c>
      <c r="AB68" s="28">
        <f t="shared" si="64"/>
      </c>
      <c r="AC68" s="28">
        <f t="shared" si="64"/>
      </c>
      <c r="AD68" s="28">
        <f t="shared" si="64"/>
      </c>
      <c r="AE68" s="28">
        <f t="shared" si="64"/>
      </c>
      <c r="AF68" s="28">
        <f t="shared" si="64"/>
      </c>
      <c r="AG68" s="28">
        <f t="shared" si="64"/>
      </c>
      <c r="AH68" s="28">
        <f t="shared" si="64"/>
      </c>
      <c r="AI68" s="28">
        <f t="shared" si="64"/>
      </c>
      <c r="AJ68" s="28">
        <f t="shared" si="64"/>
      </c>
      <c r="AK68" s="28" t="str">
        <f t="shared" si="49"/>
        <v>  |</v>
      </c>
      <c r="AL68" s="28">
        <f aca="true" t="shared" si="65" ref="AL68:BD68">IF(AL104=1,$I$46,"")</f>
      </c>
      <c r="AM68" s="28">
        <f t="shared" si="65"/>
      </c>
      <c r="AN68" s="28">
        <f t="shared" si="65"/>
      </c>
      <c r="AO68" s="28">
        <f t="shared" si="65"/>
      </c>
      <c r="AP68" s="28">
        <f t="shared" si="65"/>
      </c>
      <c r="AQ68" s="28">
        <f t="shared" si="65"/>
      </c>
      <c r="AR68" s="28">
        <f t="shared" si="65"/>
      </c>
      <c r="AS68" s="28">
        <f t="shared" si="65"/>
      </c>
      <c r="AT68" s="28">
        <f t="shared" si="65"/>
      </c>
      <c r="AU68" s="28">
        <f t="shared" si="65"/>
      </c>
      <c r="AV68" s="28">
        <f t="shared" si="65"/>
      </c>
      <c r="AW68" s="28">
        <f t="shared" si="65"/>
      </c>
      <c r="AX68" s="28">
        <f t="shared" si="65"/>
      </c>
      <c r="AY68" s="28">
        <f t="shared" si="65"/>
      </c>
      <c r="AZ68" s="28">
        <f t="shared" si="65"/>
      </c>
      <c r="BA68" s="28">
        <f t="shared" si="65"/>
      </c>
      <c r="BB68" s="28">
        <f t="shared" si="65"/>
      </c>
      <c r="BC68" s="28">
        <f t="shared" si="65"/>
      </c>
      <c r="BD68" s="28">
        <f t="shared" si="65"/>
      </c>
      <c r="BE68" s="28" t="str">
        <f t="shared" si="51"/>
        <v>  |</v>
      </c>
      <c r="BG68" s="21">
        <f>IF(I42&gt;=0.15,IF(I42&lt;0.25,1,0),0)</f>
        <v>0</v>
      </c>
      <c r="BK68" s="3"/>
      <c r="BL68" s="12"/>
      <c r="BM68" s="10"/>
      <c r="BN68" s="33"/>
      <c r="BO68" s="33">
        <f>IF(I43&gt;=0.095,IF(I43&lt;0.145,1,0),0)</f>
        <v>1</v>
      </c>
      <c r="BP68" s="33"/>
      <c r="BQ68" s="10"/>
      <c r="BR68" s="19" t="s">
        <v>112</v>
      </c>
      <c r="BS68" s="3"/>
      <c r="BT68" s="3"/>
      <c r="BU68" s="3"/>
      <c r="BV68" s="21" t="s">
        <v>1</v>
      </c>
    </row>
    <row r="69" spans="2:74" ht="19.5" customHeight="1">
      <c r="B69" s="46"/>
      <c r="C69" s="46"/>
      <c r="D69" s="46"/>
      <c r="E69" s="138"/>
      <c r="G69" s="138"/>
      <c r="H69" s="46"/>
      <c r="I69" s="46"/>
      <c r="J69" s="138"/>
      <c r="K69" s="138"/>
      <c r="M69" s="21" t="s">
        <v>1</v>
      </c>
      <c r="Q69" s="28" t="str">
        <f t="shared" si="47"/>
        <v>  |</v>
      </c>
      <c r="R69" s="28">
        <f aca="true" t="shared" si="66" ref="R69:AJ69">IF(R105=1,$I$46,"")</f>
      </c>
      <c r="S69" s="28">
        <f t="shared" si="66"/>
      </c>
      <c r="T69" s="28">
        <f t="shared" si="66"/>
      </c>
      <c r="U69" s="28">
        <f t="shared" si="66"/>
      </c>
      <c r="V69" s="28">
        <f t="shared" si="66"/>
      </c>
      <c r="W69" s="28">
        <f t="shared" si="66"/>
      </c>
      <c r="X69" s="28">
        <f t="shared" si="66"/>
      </c>
      <c r="Y69" s="28">
        <f t="shared" si="66"/>
      </c>
      <c r="Z69" s="28">
        <f t="shared" si="66"/>
      </c>
      <c r="AA69" s="28">
        <f t="shared" si="66"/>
      </c>
      <c r="AB69" s="28">
        <f t="shared" si="66"/>
      </c>
      <c r="AC69" s="28">
        <f t="shared" si="66"/>
      </c>
      <c r="AD69" s="28">
        <f t="shared" si="66"/>
      </c>
      <c r="AE69" s="28">
        <f t="shared" si="66"/>
      </c>
      <c r="AF69" s="28">
        <f t="shared" si="66"/>
      </c>
      <c r="AG69" s="28">
        <f t="shared" si="66"/>
      </c>
      <c r="AH69" s="28">
        <f t="shared" si="66"/>
      </c>
      <c r="AI69" s="28">
        <f t="shared" si="66"/>
      </c>
      <c r="AJ69" s="28">
        <f t="shared" si="66"/>
      </c>
      <c r="AK69" s="28" t="str">
        <f t="shared" si="49"/>
        <v>  |</v>
      </c>
      <c r="AL69" s="28">
        <f aca="true" t="shared" si="67" ref="AL69:BD69">IF(AL105=1,$I$46,"")</f>
      </c>
      <c r="AM69" s="28">
        <f t="shared" si="67"/>
      </c>
      <c r="AN69" s="28">
        <f t="shared" si="67"/>
      </c>
      <c r="AO69" s="28">
        <f t="shared" si="67"/>
      </c>
      <c r="AP69" s="28">
        <f t="shared" si="67"/>
      </c>
      <c r="AQ69" s="28">
        <f t="shared" si="67"/>
      </c>
      <c r="AR69" s="28">
        <f t="shared" si="67"/>
      </c>
      <c r="AS69" s="28">
        <f t="shared" si="67"/>
      </c>
      <c r="AT69" s="28">
        <f t="shared" si="67"/>
      </c>
      <c r="AU69" s="28">
        <f t="shared" si="67"/>
      </c>
      <c r="AV69" s="28">
        <f t="shared" si="67"/>
      </c>
      <c r="AW69" s="28">
        <f t="shared" si="67"/>
      </c>
      <c r="AX69" s="28">
        <f t="shared" si="67"/>
      </c>
      <c r="AY69" s="28">
        <f t="shared" si="67"/>
      </c>
      <c r="AZ69" s="28">
        <f t="shared" si="67"/>
      </c>
      <c r="BA69" s="28">
        <f t="shared" si="67"/>
      </c>
      <c r="BB69" s="28">
        <f t="shared" si="67"/>
      </c>
      <c r="BC69" s="28">
        <f t="shared" si="67"/>
      </c>
      <c r="BD69" s="28">
        <f t="shared" si="67"/>
      </c>
      <c r="BE69" s="28" t="str">
        <f t="shared" si="51"/>
        <v>  |</v>
      </c>
      <c r="BG69" s="21">
        <f>IF(I42&gt;=0.05,IF(I42&lt;0.15,1,0),0)</f>
        <v>0</v>
      </c>
      <c r="BK69" s="1"/>
      <c r="BL69" s="35" t="s">
        <v>44</v>
      </c>
      <c r="BM69" s="24"/>
      <c r="BN69" s="33"/>
      <c r="BO69" s="33">
        <f>IF(I43&gt;=0.055,IF(I43&lt;0.095,1,0),0)</f>
        <v>0</v>
      </c>
      <c r="BP69" s="33"/>
      <c r="BQ69" s="24"/>
      <c r="BR69" s="1"/>
      <c r="BS69" s="1"/>
      <c r="BU69" s="1"/>
      <c r="BV69" s="21" t="s">
        <v>1</v>
      </c>
    </row>
    <row r="70" spans="2:74" ht="19.5" customHeight="1">
      <c r="B70" s="46"/>
      <c r="C70" s="46"/>
      <c r="D70" s="46"/>
      <c r="E70" s="138"/>
      <c r="G70" s="138"/>
      <c r="H70" s="46"/>
      <c r="I70" s="46"/>
      <c r="J70" s="138"/>
      <c r="K70" s="138"/>
      <c r="M70" s="21" t="s">
        <v>1</v>
      </c>
      <c r="O70" s="21" t="s">
        <v>97</v>
      </c>
      <c r="Q70" s="28" t="str">
        <f aca="true" t="shared" si="68" ref="Q70:BE70">IF(Q106=1,$I$46,"--")</f>
        <v>--</v>
      </c>
      <c r="R70" s="28" t="str">
        <f t="shared" si="68"/>
        <v>--</v>
      </c>
      <c r="S70" s="28" t="str">
        <f t="shared" si="68"/>
        <v>--</v>
      </c>
      <c r="T70" s="28" t="str">
        <f t="shared" si="68"/>
        <v>--</v>
      </c>
      <c r="U70" s="28" t="str">
        <f t="shared" si="68"/>
        <v>--</v>
      </c>
      <c r="V70" s="28" t="str">
        <f t="shared" si="68"/>
        <v>--</v>
      </c>
      <c r="W70" s="28" t="str">
        <f t="shared" si="68"/>
        <v>--</v>
      </c>
      <c r="X70" s="28" t="str">
        <f t="shared" si="68"/>
        <v>--</v>
      </c>
      <c r="Y70" s="28" t="str">
        <f t="shared" si="68"/>
        <v>--</v>
      </c>
      <c r="Z70" s="28" t="str">
        <f t="shared" si="68"/>
        <v>--</v>
      </c>
      <c r="AA70" s="28" t="str">
        <f t="shared" si="68"/>
        <v>--</v>
      </c>
      <c r="AB70" s="28" t="str">
        <f t="shared" si="68"/>
        <v>--</v>
      </c>
      <c r="AC70" s="28" t="str">
        <f t="shared" si="68"/>
        <v>--</v>
      </c>
      <c r="AD70" s="28" t="str">
        <f t="shared" si="68"/>
        <v>--</v>
      </c>
      <c r="AE70" s="28" t="str">
        <f t="shared" si="68"/>
        <v>--</v>
      </c>
      <c r="AF70" s="28" t="str">
        <f t="shared" si="68"/>
        <v>--</v>
      </c>
      <c r="AG70" s="28" t="str">
        <f t="shared" si="68"/>
        <v>--</v>
      </c>
      <c r="AH70" s="28" t="str">
        <f t="shared" si="68"/>
        <v>--</v>
      </c>
      <c r="AI70" s="28" t="str">
        <f t="shared" si="68"/>
        <v>--</v>
      </c>
      <c r="AJ70" s="28" t="str">
        <f t="shared" si="68"/>
        <v>--</v>
      </c>
      <c r="AK70" s="28" t="str">
        <f t="shared" si="68"/>
        <v>--</v>
      </c>
      <c r="AL70" s="28" t="str">
        <f t="shared" si="68"/>
        <v>--</v>
      </c>
      <c r="AM70" s="28" t="str">
        <f t="shared" si="68"/>
        <v>--</v>
      </c>
      <c r="AN70" s="28" t="str">
        <f t="shared" si="68"/>
        <v>--</v>
      </c>
      <c r="AO70" s="28" t="str">
        <f t="shared" si="68"/>
        <v>--</v>
      </c>
      <c r="AP70" s="28" t="str">
        <f t="shared" si="68"/>
        <v>--</v>
      </c>
      <c r="AQ70" s="28" t="str">
        <f t="shared" si="68"/>
        <v>--</v>
      </c>
      <c r="AR70" s="28" t="str">
        <f t="shared" si="68"/>
        <v>--</v>
      </c>
      <c r="AS70" s="28" t="str">
        <f t="shared" si="68"/>
        <v>--</v>
      </c>
      <c r="AT70" s="28" t="str">
        <f t="shared" si="68"/>
        <v>--</v>
      </c>
      <c r="AU70" s="28" t="str">
        <f t="shared" si="68"/>
        <v>--</v>
      </c>
      <c r="AV70" s="28" t="str">
        <f t="shared" si="68"/>
        <v>--</v>
      </c>
      <c r="AW70" s="28" t="str">
        <f t="shared" si="68"/>
        <v>--</v>
      </c>
      <c r="AX70" s="28" t="str">
        <f t="shared" si="68"/>
        <v>--</v>
      </c>
      <c r="AY70" s="28" t="str">
        <f t="shared" si="68"/>
        <v>--</v>
      </c>
      <c r="AZ70" s="28" t="str">
        <f t="shared" si="68"/>
        <v>--</v>
      </c>
      <c r="BA70" s="28" t="str">
        <f t="shared" si="68"/>
        <v>--</v>
      </c>
      <c r="BB70" s="28" t="str">
        <f t="shared" si="68"/>
        <v>--</v>
      </c>
      <c r="BC70" s="28" t="str">
        <f t="shared" si="68"/>
        <v>--</v>
      </c>
      <c r="BD70" s="28" t="str">
        <f t="shared" si="68"/>
        <v>--</v>
      </c>
      <c r="BE70" s="28" t="str">
        <f t="shared" si="68"/>
        <v>--</v>
      </c>
      <c r="BG70" s="21">
        <f>IF(I42&lt;0.05,1,0)</f>
        <v>0</v>
      </c>
      <c r="BK70" s="1"/>
      <c r="BL70" s="12"/>
      <c r="BM70" s="10"/>
      <c r="BN70" s="33"/>
      <c r="BO70" s="33">
        <f>IF(I43&gt;=0.005,IF(I43&lt;0.055,1,0),0)</f>
        <v>0</v>
      </c>
      <c r="BP70" s="33"/>
      <c r="BQ70" s="10"/>
      <c r="BR70" s="20" t="s">
        <v>113</v>
      </c>
      <c r="BS70" s="1"/>
      <c r="BT70" s="1"/>
      <c r="BU70" s="1"/>
      <c r="BV70" s="21" t="s">
        <v>1</v>
      </c>
    </row>
    <row r="71" spans="2:74" ht="19.5" customHeight="1">
      <c r="B71" s="46"/>
      <c r="C71" s="46"/>
      <c r="D71" s="46"/>
      <c r="E71" s="138"/>
      <c r="G71" s="138"/>
      <c r="H71" s="46"/>
      <c r="I71" s="137"/>
      <c r="J71" s="138"/>
      <c r="K71" s="138"/>
      <c r="M71" s="21" t="s">
        <v>1</v>
      </c>
      <c r="P71" s="21" t="s">
        <v>2</v>
      </c>
      <c r="Q71" s="28" t="s">
        <v>98</v>
      </c>
      <c r="W71" s="34" t="s">
        <v>48</v>
      </c>
      <c r="AK71" s="28" t="s">
        <v>98</v>
      </c>
      <c r="AQ71" s="34" t="s">
        <v>49</v>
      </c>
      <c r="BE71" s="28" t="s">
        <v>98</v>
      </c>
      <c r="BF71" s="3"/>
      <c r="BJ71" s="3"/>
      <c r="BL71" s="12" t="s">
        <v>46</v>
      </c>
      <c r="BM71" s="10"/>
      <c r="BN71" s="33"/>
      <c r="BO71" s="33">
        <f>IF(I43&gt;=-0.125,IF(I43&lt;0.005,1,0),0)</f>
        <v>0</v>
      </c>
      <c r="BP71" s="33"/>
      <c r="BQ71" s="10"/>
      <c r="BR71" s="1"/>
      <c r="BS71" s="1"/>
      <c r="BV71" s="21" t="s">
        <v>1</v>
      </c>
    </row>
    <row r="72" spans="2:74" ht="19.5" customHeight="1">
      <c r="B72" s="46"/>
      <c r="C72" s="46"/>
      <c r="D72" s="46"/>
      <c r="E72" s="138"/>
      <c r="G72" s="138"/>
      <c r="H72" s="46"/>
      <c r="I72" s="137"/>
      <c r="J72" s="138"/>
      <c r="K72" s="138"/>
      <c r="M72" s="21" t="s">
        <v>1</v>
      </c>
      <c r="P72" s="21" t="s">
        <v>2</v>
      </c>
      <c r="Q72" s="28" t="s">
        <v>98</v>
      </c>
      <c r="V72" s="28" t="s">
        <v>98</v>
      </c>
      <c r="AA72" s="28" t="s">
        <v>98</v>
      </c>
      <c r="AF72" s="28" t="s">
        <v>98</v>
      </c>
      <c r="AK72" s="28" t="s">
        <v>98</v>
      </c>
      <c r="AP72" s="28" t="s">
        <v>98</v>
      </c>
      <c r="AU72" s="28" t="s">
        <v>98</v>
      </c>
      <c r="AW72" s="3"/>
      <c r="AX72" s="3"/>
      <c r="AY72" s="3"/>
      <c r="AZ72" s="28" t="s">
        <v>98</v>
      </c>
      <c r="BB72" s="3"/>
      <c r="BC72" s="3"/>
      <c r="BD72" s="3"/>
      <c r="BE72" s="28" t="s">
        <v>98</v>
      </c>
      <c r="BJ72" s="3"/>
      <c r="BL72" s="12"/>
      <c r="BM72" s="10"/>
      <c r="BN72" s="33"/>
      <c r="BO72" s="33">
        <f>IF(I43&gt;=-0.235,IF(I43&lt;-0.125,1,0),0)</f>
        <v>0</v>
      </c>
      <c r="BP72" s="33"/>
      <c r="BQ72" s="10"/>
      <c r="BR72" s="20" t="s">
        <v>114</v>
      </c>
      <c r="BS72" s="1"/>
      <c r="BU72" s="1"/>
      <c r="BV72" s="21" t="s">
        <v>1</v>
      </c>
    </row>
    <row r="73" spans="2:74" ht="19.5" customHeight="1">
      <c r="B73" s="46"/>
      <c r="C73" s="46"/>
      <c r="D73" s="46"/>
      <c r="E73" s="138"/>
      <c r="G73" s="138"/>
      <c r="H73" s="46"/>
      <c r="I73" s="137"/>
      <c r="J73" s="138"/>
      <c r="K73" s="138"/>
      <c r="M73" s="21" t="s">
        <v>1</v>
      </c>
      <c r="Q73" s="22" t="s">
        <v>52</v>
      </c>
      <c r="V73" s="22" t="s">
        <v>99</v>
      </c>
      <c r="AA73" s="22" t="s">
        <v>53</v>
      </c>
      <c r="AE73" s="3"/>
      <c r="AF73" s="22" t="s">
        <v>100</v>
      </c>
      <c r="AK73" s="36" t="s">
        <v>54</v>
      </c>
      <c r="AP73" s="22" t="s">
        <v>101</v>
      </c>
      <c r="AU73" s="22" t="s">
        <v>102</v>
      </c>
      <c r="AW73" s="3"/>
      <c r="AX73" s="3"/>
      <c r="AY73" s="3"/>
      <c r="AZ73" s="22" t="s">
        <v>103</v>
      </c>
      <c r="BB73" s="3"/>
      <c r="BC73" s="3"/>
      <c r="BD73" s="3"/>
      <c r="BE73" s="22" t="s">
        <v>104</v>
      </c>
      <c r="BF73" s="3"/>
      <c r="BJ73" s="3"/>
      <c r="BL73" s="12" t="s">
        <v>51</v>
      </c>
      <c r="BM73" s="10"/>
      <c r="BN73" s="33"/>
      <c r="BO73" s="33">
        <f>IF(I43&gt;=-0.345,IF(I43&lt;-0.235,1,0),0)</f>
        <v>0</v>
      </c>
      <c r="BP73" s="33"/>
      <c r="BQ73" s="10"/>
      <c r="BR73" s="1"/>
      <c r="BS73" s="1"/>
      <c r="BT73" s="1"/>
      <c r="BU73" s="1"/>
      <c r="BV73" s="21" t="s">
        <v>1</v>
      </c>
    </row>
    <row r="74" spans="2:74" ht="19.5" customHeight="1">
      <c r="B74" s="46"/>
      <c r="C74" s="46"/>
      <c r="D74" s="46"/>
      <c r="E74" s="140"/>
      <c r="G74" s="140"/>
      <c r="H74" s="46"/>
      <c r="I74" s="139"/>
      <c r="J74" s="140"/>
      <c r="K74" s="140"/>
      <c r="M74" s="21" t="s">
        <v>1</v>
      </c>
      <c r="AG74" s="3"/>
      <c r="AS74" s="3"/>
      <c r="AT74" s="3"/>
      <c r="AU74" s="3"/>
      <c r="AV74" s="3"/>
      <c r="AW74" s="3"/>
      <c r="AX74" s="3"/>
      <c r="AY74" s="3"/>
      <c r="AZ74" s="3"/>
      <c r="BA74" s="3"/>
      <c r="BC74" s="3"/>
      <c r="BD74" s="3"/>
      <c r="BE74" s="3"/>
      <c r="BJ74" s="3"/>
      <c r="BL74" s="12"/>
      <c r="BM74" s="10"/>
      <c r="BN74" s="33"/>
      <c r="BO74" s="33">
        <f>IF(I43&gt;=-0.455,IF(I43&lt;-0.345,1,0),0)</f>
        <v>0</v>
      </c>
      <c r="BP74" s="33"/>
      <c r="BQ74" s="10"/>
      <c r="BR74" s="20" t="s">
        <v>115</v>
      </c>
      <c r="BS74" s="1"/>
      <c r="BT74" s="1"/>
      <c r="BV74" s="21" t="s">
        <v>1</v>
      </c>
    </row>
    <row r="75" spans="2:74" ht="19.5" customHeight="1">
      <c r="B75" s="46"/>
      <c r="C75" s="46"/>
      <c r="D75" s="46"/>
      <c r="E75" s="138"/>
      <c r="G75" s="138"/>
      <c r="H75" s="46"/>
      <c r="I75" s="137"/>
      <c r="J75" s="138"/>
      <c r="K75" s="138"/>
      <c r="M75" s="21" t="s">
        <v>1</v>
      </c>
      <c r="O75" s="21" t="s">
        <v>74</v>
      </c>
      <c r="Q75" s="21">
        <f>IF(I41&lt;=-19.5,1,0)</f>
        <v>0</v>
      </c>
      <c r="R75" s="21">
        <f>IF(I41&lt;=-18.5,IF(I41&gt;-19.5,1,0),0)</f>
        <v>0</v>
      </c>
      <c r="S75" s="21">
        <f>IF(I41&lt;=-17.5,IF(I41&gt;-18.5,1,0),0)</f>
        <v>0</v>
      </c>
      <c r="T75" s="21">
        <f>IF(I41&lt;=-16.5,IF(I41&gt;-17.5,1,0),0)</f>
        <v>0</v>
      </c>
      <c r="U75" s="21">
        <f>IF(I41&lt;=-15.5,IF(I41&gt;-16.5,1,0),0)</f>
        <v>0</v>
      </c>
      <c r="V75" s="21">
        <f>IF(I41&lt;=-14.5,IF(I41&gt;-15.5,1,0),0)</f>
        <v>0</v>
      </c>
      <c r="W75" s="21">
        <f>IF(I41&lt;=-13.5,IF(I41&gt;-14.5,1,0),0)</f>
        <v>0</v>
      </c>
      <c r="X75" s="21">
        <f>IF(I41&lt;=-12.5,IF(I41&gt;-13.5,1,0),0)</f>
        <v>0</v>
      </c>
      <c r="Y75" s="21">
        <f>IF(I41&lt;=-11.5,IF(I41&gt;-12.5,1,0),0)</f>
        <v>0</v>
      </c>
      <c r="Z75" s="21">
        <f>IF(I41&lt;=-10.5,IF(I41&gt;-11.5,1,0),0)</f>
        <v>0</v>
      </c>
      <c r="AA75" s="21">
        <f>IF(I41&lt;=-9.5,IF(I41&gt;-10.5,1,0),0)</f>
        <v>0</v>
      </c>
      <c r="AB75" s="21">
        <f>IF(I41&lt;=-8.5,IF(I41&gt;-9.5,1,0),0)</f>
        <v>0</v>
      </c>
      <c r="AC75" s="21">
        <f>IF(I41&lt;=-7.5,IF(I41&gt;-8.5,1,0),0)</f>
        <v>0</v>
      </c>
      <c r="AD75" s="21">
        <f>IF(I41&lt;=-6.5,IF(I41&gt;-7.5,1,0),0)</f>
        <v>0</v>
      </c>
      <c r="AE75" s="21">
        <f>IF(I41&lt;=-5.5,IF(I41&gt;-6.5,1,0),0)</f>
        <v>1</v>
      </c>
      <c r="AF75" s="21">
        <f>IF(I41&lt;=-4.5,IF(I41&gt;-5.5,1,0),0)</f>
        <v>0</v>
      </c>
      <c r="AG75" s="21">
        <f>IF(I41&lt;=-3.5,IF(I41&gt;-4.5,1,0),0)</f>
        <v>0</v>
      </c>
      <c r="AH75" s="21">
        <f>IF(I41&lt;=-2.5,IF(I41&gt;-3.5,1,0),0)</f>
        <v>0</v>
      </c>
      <c r="AI75" s="21">
        <f>IF(I41&lt;=-1.5,IF(I41&gt;-2.5,1,0),0)</f>
        <v>0</v>
      </c>
      <c r="AJ75" s="21">
        <f>IF(I41&lt;=-0.5,IF(I41&gt;-1.5,1,0),0)</f>
        <v>0</v>
      </c>
      <c r="AK75" s="21">
        <f>IF(I41&lt;0.5,IF(I41&gt;-0.5,1,0),0)</f>
        <v>0</v>
      </c>
      <c r="AL75" s="21">
        <f>IF(I41&lt;1.5,IF(I41&gt;=0.5,1,0),0)</f>
        <v>0</v>
      </c>
      <c r="AM75" s="21">
        <f>IF(I41&lt;2.5,IF(I41&gt;=1.5,1,0),0)</f>
        <v>0</v>
      </c>
      <c r="AN75" s="21">
        <f>IF(I41&lt;3.5,IF(I41&gt;=2.5,1,0),0)</f>
        <v>0</v>
      </c>
      <c r="AO75" s="21">
        <f>IF(I41&lt;4.5,IF(I41&gt;=3.5,1,0),0)</f>
        <v>0</v>
      </c>
      <c r="AP75" s="21">
        <f>IF(I41&lt;5.5,IF(I41&gt;=4.5,1,0),0)</f>
        <v>0</v>
      </c>
      <c r="AQ75" s="21">
        <f>IF(I41&lt;6.5,IF(I41&gt;=5.5,1,0),0)</f>
        <v>0</v>
      </c>
      <c r="AR75" s="21">
        <f>IF(I41&lt;7.5,IF(I41&gt;=6.5,1,0),0)</f>
        <v>0</v>
      </c>
      <c r="AS75" s="21">
        <f>IF(I41&lt;8.5,IF(I41&gt;=7.5,1,0),0)</f>
        <v>0</v>
      </c>
      <c r="AT75" s="21">
        <f>IF(I41&lt;9.5,IF(I41&gt;=8.5,1,0),0)</f>
        <v>0</v>
      </c>
      <c r="AU75" s="21">
        <f>IF(I41&lt;10.5,IF(I41&gt;=9.5,1,0),0)</f>
        <v>0</v>
      </c>
      <c r="AV75" s="21">
        <f>IF(I41&lt;11.5,IF(I41&gt;=10.5,1,0),0)</f>
        <v>0</v>
      </c>
      <c r="AW75" s="21">
        <f>IF(I41&lt;12.5,IF(I41&gt;=11.5,1,0),0)</f>
        <v>0</v>
      </c>
      <c r="AX75" s="21">
        <f>IF(I41&lt;13.5,IF(I41&gt;=12.5,1,0),0)</f>
        <v>0</v>
      </c>
      <c r="AY75" s="21">
        <f>IF(I41&lt;14.5,IF(I41&gt;=13.5,1,0),0)</f>
        <v>0</v>
      </c>
      <c r="AZ75" s="21">
        <f>IF(I41&lt;15.5,IF(I41&gt;=14.5,1,0),0)</f>
        <v>0</v>
      </c>
      <c r="BA75" s="21">
        <f>IF(I41&lt;16.5,IF(I41&gt;=15.5,1,0),0)</f>
        <v>0</v>
      </c>
      <c r="BB75" s="21">
        <f>IF(I41&lt;17.5,IF(I41&gt;=16.5,1,0),0)</f>
        <v>0</v>
      </c>
      <c r="BC75" s="21">
        <f>IF(I41&lt;18.5,IF(I41&gt;=17.5,1,0),0)</f>
        <v>0</v>
      </c>
      <c r="BD75" s="21">
        <f>IF(I41&lt;19.5,IF(I41&gt;=18.5,1,0),0)</f>
        <v>0</v>
      </c>
      <c r="BE75" s="21">
        <f>IF(I41&gt;=19.5,1,0)</f>
        <v>0</v>
      </c>
      <c r="BJ75" s="3"/>
      <c r="BL75" s="12" t="s">
        <v>55</v>
      </c>
      <c r="BM75" s="10"/>
      <c r="BN75" s="33"/>
      <c r="BO75" s="33">
        <f>IF(I43&gt;=-0.595,IF(I43&lt;-0.455,1,0),0)</f>
        <v>0</v>
      </c>
      <c r="BP75" s="33"/>
      <c r="BQ75" s="10"/>
      <c r="BR75" s="1"/>
      <c r="BS75" s="1"/>
      <c r="BT75" s="1"/>
      <c r="BV75" s="21" t="s">
        <v>1</v>
      </c>
    </row>
    <row r="76" spans="2:74" ht="19.5" customHeight="1">
      <c r="B76" s="46"/>
      <c r="C76" s="46"/>
      <c r="D76" s="46"/>
      <c r="E76" s="138"/>
      <c r="G76" s="138"/>
      <c r="H76" s="46"/>
      <c r="I76" s="137"/>
      <c r="J76" s="138"/>
      <c r="K76" s="138"/>
      <c r="M76" s="21" t="s">
        <v>1</v>
      </c>
      <c r="AG76" s="3"/>
      <c r="AS76" s="3"/>
      <c r="AT76" s="3"/>
      <c r="AU76" s="3"/>
      <c r="AV76" s="3"/>
      <c r="AW76" s="3"/>
      <c r="AX76" s="3"/>
      <c r="AY76" s="3"/>
      <c r="AZ76" s="3"/>
      <c r="BA76" s="3"/>
      <c r="BD76" s="3"/>
      <c r="BE76" s="3"/>
      <c r="BJ76" s="3"/>
      <c r="BL76" s="12"/>
      <c r="BM76" s="10"/>
      <c r="BN76" s="33"/>
      <c r="BO76" s="33">
        <f>IF(I43&gt;=-0.735,IF(I43&lt;-0.595,1,0),0)</f>
        <v>0</v>
      </c>
      <c r="BP76" s="33"/>
      <c r="BQ76" s="10"/>
      <c r="BR76" s="20" t="s">
        <v>116</v>
      </c>
      <c r="BS76" s="1"/>
      <c r="BT76" s="1"/>
      <c r="BU76" s="1"/>
      <c r="BV76" s="21" t="s">
        <v>1</v>
      </c>
    </row>
    <row r="77" spans="2:74" ht="19.5" customHeight="1">
      <c r="B77" s="46"/>
      <c r="C77" s="46"/>
      <c r="D77" s="46"/>
      <c r="E77" s="138"/>
      <c r="G77" s="138"/>
      <c r="H77" s="46"/>
      <c r="I77" s="137"/>
      <c r="J77" s="138"/>
      <c r="K77" s="138"/>
      <c r="M77" s="21" t="s">
        <v>1</v>
      </c>
      <c r="BJ77" s="3"/>
      <c r="BL77" s="12" t="s">
        <v>58</v>
      </c>
      <c r="BM77" s="10"/>
      <c r="BN77" s="33"/>
      <c r="BO77" s="33">
        <f>IF(I43&gt;=-0.875,IF(I43&lt;-0.735,1,0),0)</f>
        <v>0</v>
      </c>
      <c r="BP77" s="33"/>
      <c r="BQ77" s="10"/>
      <c r="BR77" s="1"/>
      <c r="BS77" s="1"/>
      <c r="BT77" s="1"/>
      <c r="BU77" s="1"/>
      <c r="BV77" s="21" t="s">
        <v>1</v>
      </c>
    </row>
    <row r="78" spans="2:74" ht="19.5" customHeight="1">
      <c r="B78" s="46"/>
      <c r="C78" s="46"/>
      <c r="D78" s="46"/>
      <c r="E78" s="138"/>
      <c r="G78" s="138"/>
      <c r="H78" s="46"/>
      <c r="I78" s="137"/>
      <c r="J78" s="138"/>
      <c r="K78" s="138"/>
      <c r="M78" s="21" t="s">
        <v>1</v>
      </c>
      <c r="BJ78" s="3"/>
      <c r="BL78" s="12"/>
      <c r="BM78" s="10"/>
      <c r="BN78" s="33"/>
      <c r="BO78" s="33">
        <f>IF(I43&gt;=-1.005,IF(I43&lt;-0.875,1,0),0)</f>
        <v>0</v>
      </c>
      <c r="BP78" s="33"/>
      <c r="BQ78" s="10"/>
      <c r="BR78" s="20" t="s">
        <v>117</v>
      </c>
      <c r="BS78" s="1"/>
      <c r="BT78" s="1"/>
      <c r="BU78" s="1"/>
      <c r="BV78" s="21" t="s">
        <v>1</v>
      </c>
    </row>
    <row r="79" spans="2:74" ht="19.5" customHeight="1">
      <c r="B79" s="46"/>
      <c r="C79" s="46"/>
      <c r="D79" s="46"/>
      <c r="E79" s="138"/>
      <c r="G79" s="138"/>
      <c r="H79" s="46"/>
      <c r="I79" s="46"/>
      <c r="J79" s="138"/>
      <c r="K79" s="138"/>
      <c r="M79" s="21" t="s">
        <v>1</v>
      </c>
      <c r="BJ79" s="3"/>
      <c r="BK79" s="1"/>
      <c r="BL79" s="12" t="s">
        <v>59</v>
      </c>
      <c r="BM79" s="10"/>
      <c r="BN79" s="33"/>
      <c r="BO79" s="33">
        <f>IF(I43&gt;=-1.665,IF(I43&lt;-1.005,1,0),0)</f>
        <v>0</v>
      </c>
      <c r="BP79" s="33"/>
      <c r="BQ79" s="10"/>
      <c r="BR79" s="1"/>
      <c r="BS79" s="1"/>
      <c r="BT79" s="1"/>
      <c r="BU79" s="1"/>
      <c r="BV79" s="21" t="s">
        <v>1</v>
      </c>
    </row>
    <row r="80" spans="2:74" ht="19.5" customHeight="1">
      <c r="B80" s="46"/>
      <c r="C80" s="46"/>
      <c r="D80" s="46"/>
      <c r="E80" s="138"/>
      <c r="G80" s="138"/>
      <c r="H80" s="46"/>
      <c r="I80" s="46"/>
      <c r="J80" s="138"/>
      <c r="K80" s="138"/>
      <c r="M80" s="21" t="s">
        <v>1</v>
      </c>
      <c r="BJ80" s="3"/>
      <c r="BK80" s="1"/>
      <c r="BL80" s="12"/>
      <c r="BM80" s="10"/>
      <c r="BN80" s="33"/>
      <c r="BO80" s="33">
        <f>IF(I43&gt;=-2.315,IF(I43&lt;-1.665,1,0),0)</f>
        <v>0</v>
      </c>
      <c r="BP80" s="33"/>
      <c r="BQ80" s="10"/>
      <c r="BR80" s="20" t="s">
        <v>118</v>
      </c>
      <c r="BS80" s="1"/>
      <c r="BT80" s="1"/>
      <c r="BU80" s="1"/>
      <c r="BV80" s="21" t="s">
        <v>1</v>
      </c>
    </row>
    <row r="81" spans="2:74" ht="19.5" customHeight="1">
      <c r="B81" s="46"/>
      <c r="C81" s="46"/>
      <c r="D81" s="46"/>
      <c r="E81" s="138"/>
      <c r="G81" s="138"/>
      <c r="H81" s="46"/>
      <c r="I81" s="46"/>
      <c r="J81" s="138"/>
      <c r="K81" s="138"/>
      <c r="M81" s="21" t="s">
        <v>1</v>
      </c>
      <c r="BJ81" s="3"/>
      <c r="BK81" s="1"/>
      <c r="BL81" s="12" t="s">
        <v>61</v>
      </c>
      <c r="BM81" s="10"/>
      <c r="BN81" s="33"/>
      <c r="BO81" s="33">
        <f>IF(I43&gt;=-2.975,IF(I43&lt;-2.315,1,0),0)</f>
        <v>0</v>
      </c>
      <c r="BP81" s="33"/>
      <c r="BQ81" s="10"/>
      <c r="BR81" s="1"/>
      <c r="BS81" s="1"/>
      <c r="BT81" s="1"/>
      <c r="BU81" s="1"/>
      <c r="BV81" s="21" t="s">
        <v>1</v>
      </c>
    </row>
    <row r="82" spans="2:74" ht="19.5" customHeight="1">
      <c r="B82" s="46"/>
      <c r="C82" s="46"/>
      <c r="D82" s="116"/>
      <c r="E82" s="116"/>
      <c r="G82" s="116"/>
      <c r="H82" s="116"/>
      <c r="I82" s="116"/>
      <c r="J82" s="117"/>
      <c r="K82" s="116"/>
      <c r="M82" s="21" t="s">
        <v>1</v>
      </c>
      <c r="BJ82" s="3"/>
      <c r="BK82" s="1"/>
      <c r="BL82" s="12"/>
      <c r="BM82" s="10"/>
      <c r="BN82" s="33"/>
      <c r="BO82" s="33">
        <f>IF(I43&gt;=-3.625,IF(I43&lt;-2.975,1,0),0)</f>
        <v>0</v>
      </c>
      <c r="BP82" s="33"/>
      <c r="BQ82" s="10"/>
      <c r="BR82" s="20" t="s">
        <v>119</v>
      </c>
      <c r="BS82" s="1"/>
      <c r="BT82" s="1"/>
      <c r="BU82" s="1"/>
      <c r="BV82" s="21" t="s">
        <v>1</v>
      </c>
    </row>
    <row r="83" spans="2:74" ht="19.5" customHeight="1">
      <c r="B83" s="46"/>
      <c r="C83" s="141"/>
      <c r="D83" s="142"/>
      <c r="E83" s="46"/>
      <c r="G83" s="138"/>
      <c r="H83" s="46"/>
      <c r="I83" s="137"/>
      <c r="J83" s="138"/>
      <c r="K83" s="138"/>
      <c r="M83" s="21" t="s">
        <v>1</v>
      </c>
      <c r="BJ83" s="3"/>
      <c r="BK83" s="1"/>
      <c r="BL83" s="12" t="s">
        <v>64</v>
      </c>
      <c r="BM83" s="10"/>
      <c r="BN83" s="33"/>
      <c r="BO83" s="33">
        <f>IF(I43&gt;=-3.955,IF(I43&lt;-3.625,1,0),0)</f>
        <v>0</v>
      </c>
      <c r="BP83" s="33"/>
      <c r="BQ83" s="10"/>
      <c r="BR83" s="1"/>
      <c r="BS83" s="1"/>
      <c r="BT83" s="1"/>
      <c r="BU83" s="1"/>
      <c r="BV83" s="21" t="s">
        <v>1</v>
      </c>
    </row>
    <row r="84" spans="2:74" ht="19.5" customHeight="1">
      <c r="B84" s="46"/>
      <c r="C84" s="141"/>
      <c r="D84" s="142"/>
      <c r="E84" s="46"/>
      <c r="G84" s="138"/>
      <c r="H84" s="46"/>
      <c r="I84" s="137"/>
      <c r="J84" s="138"/>
      <c r="K84" s="138"/>
      <c r="M84" s="21" t="s">
        <v>1</v>
      </c>
      <c r="BJ84" s="3"/>
      <c r="BK84" s="1"/>
      <c r="BL84" s="24"/>
      <c r="BM84" s="10"/>
      <c r="BN84" s="33"/>
      <c r="BO84" s="33">
        <f>IF(I43&lt;-3.955,1,0)</f>
        <v>0</v>
      </c>
      <c r="BP84" s="33"/>
      <c r="BQ84" s="10"/>
      <c r="BR84" s="20" t="s">
        <v>120</v>
      </c>
      <c r="BS84" s="1"/>
      <c r="BT84" s="1"/>
      <c r="BU84" s="1"/>
      <c r="BV84" s="21" t="s">
        <v>1</v>
      </c>
    </row>
    <row r="85" spans="2:74" ht="19.5" customHeight="1">
      <c r="B85" s="46"/>
      <c r="C85" s="141"/>
      <c r="D85" s="142"/>
      <c r="E85" s="46"/>
      <c r="G85" s="138"/>
      <c r="H85" s="46"/>
      <c r="I85" s="137"/>
      <c r="J85" s="138"/>
      <c r="K85" s="138"/>
      <c r="M85" s="21" t="s">
        <v>1</v>
      </c>
      <c r="N85" s="23" t="s">
        <v>0</v>
      </c>
      <c r="O85" s="23" t="s">
        <v>0</v>
      </c>
      <c r="P85" s="23" t="s">
        <v>0</v>
      </c>
      <c r="Q85" s="23" t="s">
        <v>0</v>
      </c>
      <c r="R85" s="23" t="s">
        <v>0</v>
      </c>
      <c r="S85" s="23" t="s">
        <v>0</v>
      </c>
      <c r="T85" s="23" t="s">
        <v>0</v>
      </c>
      <c r="U85" s="23" t="s">
        <v>0</v>
      </c>
      <c r="V85" s="23" t="s">
        <v>0</v>
      </c>
      <c r="W85" s="23" t="s">
        <v>0</v>
      </c>
      <c r="X85" s="23" t="s">
        <v>0</v>
      </c>
      <c r="Y85" s="23" t="s">
        <v>0</v>
      </c>
      <c r="Z85" s="23" t="s">
        <v>0</v>
      </c>
      <c r="AA85" s="23" t="s">
        <v>0</v>
      </c>
      <c r="AB85" s="23" t="s">
        <v>0</v>
      </c>
      <c r="AC85" s="23" t="s">
        <v>0</v>
      </c>
      <c r="AD85" s="23" t="s">
        <v>0</v>
      </c>
      <c r="AE85" s="23" t="s">
        <v>0</v>
      </c>
      <c r="AF85" s="23" t="s">
        <v>0</v>
      </c>
      <c r="AG85" s="23" t="s">
        <v>0</v>
      </c>
      <c r="AH85" s="23" t="s">
        <v>0</v>
      </c>
      <c r="AI85" s="23" t="s">
        <v>0</v>
      </c>
      <c r="AJ85" s="23" t="s">
        <v>0</v>
      </c>
      <c r="AK85" s="23" t="s">
        <v>0</v>
      </c>
      <c r="AL85" s="23" t="s">
        <v>0</v>
      </c>
      <c r="AM85" s="23" t="s">
        <v>0</v>
      </c>
      <c r="AN85" s="23" t="s">
        <v>0</v>
      </c>
      <c r="AO85" s="23" t="s">
        <v>0</v>
      </c>
      <c r="AP85" s="23" t="s">
        <v>0</v>
      </c>
      <c r="AQ85" s="23" t="s">
        <v>0</v>
      </c>
      <c r="AR85" s="23" t="s">
        <v>0</v>
      </c>
      <c r="AS85" s="23" t="s">
        <v>0</v>
      </c>
      <c r="AT85" s="23" t="s">
        <v>0</v>
      </c>
      <c r="AU85" s="23" t="s">
        <v>0</v>
      </c>
      <c r="AV85" s="23" t="s">
        <v>0</v>
      </c>
      <c r="AW85" s="23" t="s">
        <v>0</v>
      </c>
      <c r="AX85" s="23" t="s">
        <v>0</v>
      </c>
      <c r="AY85" s="23" t="s">
        <v>0</v>
      </c>
      <c r="AZ85" s="23" t="s">
        <v>0</v>
      </c>
      <c r="BA85" s="23" t="s">
        <v>0</v>
      </c>
      <c r="BB85" s="23" t="s">
        <v>0</v>
      </c>
      <c r="BC85" s="23" t="s">
        <v>0</v>
      </c>
      <c r="BD85" s="23" t="s">
        <v>0</v>
      </c>
      <c r="BE85" s="23" t="s">
        <v>0</v>
      </c>
      <c r="BF85" s="23" t="s">
        <v>0</v>
      </c>
      <c r="BG85" s="23" t="s">
        <v>0</v>
      </c>
      <c r="BH85" s="23" t="s">
        <v>0</v>
      </c>
      <c r="BI85" s="23" t="s">
        <v>0</v>
      </c>
      <c r="BJ85" s="23" t="s">
        <v>0</v>
      </c>
      <c r="BK85" s="23" t="s">
        <v>0</v>
      </c>
      <c r="BL85" s="23" t="s">
        <v>0</v>
      </c>
      <c r="BM85" s="23" t="s">
        <v>0</v>
      </c>
      <c r="BN85" s="23" t="s">
        <v>0</v>
      </c>
      <c r="BO85" s="23" t="s">
        <v>0</v>
      </c>
      <c r="BP85" s="23" t="s">
        <v>0</v>
      </c>
      <c r="BQ85" s="23" t="s">
        <v>0</v>
      </c>
      <c r="BR85" s="23" t="s">
        <v>0</v>
      </c>
      <c r="BS85" s="23" t="s">
        <v>0</v>
      </c>
      <c r="BT85" s="23" t="s">
        <v>0</v>
      </c>
      <c r="BU85" s="23" t="s">
        <v>0</v>
      </c>
      <c r="BV85" s="21" t="s">
        <v>1</v>
      </c>
    </row>
    <row r="86" spans="2:74" ht="19.5" customHeight="1">
      <c r="B86" s="46"/>
      <c r="C86" s="141"/>
      <c r="D86" s="142"/>
      <c r="E86" s="46"/>
      <c r="G86" s="138"/>
      <c r="H86" s="46"/>
      <c r="I86" s="137"/>
      <c r="J86" s="138"/>
      <c r="K86" s="138"/>
      <c r="M86" s="21" t="s">
        <v>1</v>
      </c>
      <c r="O86" s="21" t="s">
        <v>87</v>
      </c>
      <c r="Q86" s="28">
        <f aca="true" t="shared" si="69" ref="Q86:BE86">IF($BG$50=0,0,IF(Q$75=0,0,1))</f>
        <v>0</v>
      </c>
      <c r="R86" s="28">
        <f t="shared" si="69"/>
        <v>0</v>
      </c>
      <c r="S86" s="28">
        <f t="shared" si="69"/>
        <v>0</v>
      </c>
      <c r="T86" s="28">
        <f t="shared" si="69"/>
        <v>0</v>
      </c>
      <c r="U86" s="28">
        <f t="shared" si="69"/>
        <v>0</v>
      </c>
      <c r="V86" s="28">
        <f t="shared" si="69"/>
        <v>0</v>
      </c>
      <c r="W86" s="28">
        <f t="shared" si="69"/>
        <v>0</v>
      </c>
      <c r="X86" s="28">
        <f t="shared" si="69"/>
        <v>0</v>
      </c>
      <c r="Y86" s="28">
        <f t="shared" si="69"/>
        <v>0</v>
      </c>
      <c r="Z86" s="28">
        <f t="shared" si="69"/>
        <v>0</v>
      </c>
      <c r="AA86" s="28">
        <f t="shared" si="69"/>
        <v>0</v>
      </c>
      <c r="AB86" s="28">
        <f t="shared" si="69"/>
        <v>0</v>
      </c>
      <c r="AC86" s="28">
        <f t="shared" si="69"/>
        <v>0</v>
      </c>
      <c r="AD86" s="28">
        <f t="shared" si="69"/>
        <v>0</v>
      </c>
      <c r="AE86" s="28">
        <f t="shared" si="69"/>
        <v>1</v>
      </c>
      <c r="AF86" s="28">
        <f t="shared" si="69"/>
        <v>0</v>
      </c>
      <c r="AG86" s="28">
        <f t="shared" si="69"/>
        <v>0</v>
      </c>
      <c r="AH86" s="28">
        <f t="shared" si="69"/>
        <v>0</v>
      </c>
      <c r="AI86" s="28">
        <f t="shared" si="69"/>
        <v>0</v>
      </c>
      <c r="AJ86" s="28">
        <f t="shared" si="69"/>
        <v>0</v>
      </c>
      <c r="AK86" s="28">
        <f t="shared" si="69"/>
        <v>0</v>
      </c>
      <c r="AL86" s="28">
        <f t="shared" si="69"/>
        <v>0</v>
      </c>
      <c r="AM86" s="28">
        <f t="shared" si="69"/>
        <v>0</v>
      </c>
      <c r="AN86" s="28">
        <f t="shared" si="69"/>
        <v>0</v>
      </c>
      <c r="AO86" s="28">
        <f t="shared" si="69"/>
        <v>0</v>
      </c>
      <c r="AP86" s="28">
        <f t="shared" si="69"/>
        <v>0</v>
      </c>
      <c r="AQ86" s="28">
        <f t="shared" si="69"/>
        <v>0</v>
      </c>
      <c r="AR86" s="28">
        <f t="shared" si="69"/>
        <v>0</v>
      </c>
      <c r="AS86" s="28">
        <f t="shared" si="69"/>
        <v>0</v>
      </c>
      <c r="AT86" s="28">
        <f t="shared" si="69"/>
        <v>0</v>
      </c>
      <c r="AU86" s="28">
        <f t="shared" si="69"/>
        <v>0</v>
      </c>
      <c r="AV86" s="28">
        <f t="shared" si="69"/>
        <v>0</v>
      </c>
      <c r="AW86" s="28">
        <f t="shared" si="69"/>
        <v>0</v>
      </c>
      <c r="AX86" s="28">
        <f t="shared" si="69"/>
        <v>0</v>
      </c>
      <c r="AY86" s="28">
        <f t="shared" si="69"/>
        <v>0</v>
      </c>
      <c r="AZ86" s="28">
        <f t="shared" si="69"/>
        <v>0</v>
      </c>
      <c r="BA86" s="28">
        <f t="shared" si="69"/>
        <v>0</v>
      </c>
      <c r="BB86" s="28">
        <f t="shared" si="69"/>
        <v>0</v>
      </c>
      <c r="BC86" s="28">
        <f t="shared" si="69"/>
        <v>0</v>
      </c>
      <c r="BD86" s="28">
        <f t="shared" si="69"/>
        <v>0</v>
      </c>
      <c r="BE86" s="28">
        <f t="shared" si="69"/>
        <v>0</v>
      </c>
      <c r="BF86" s="3"/>
      <c r="BV86" s="21" t="s">
        <v>1</v>
      </c>
    </row>
    <row r="87" spans="2:74" ht="19.5" customHeight="1">
      <c r="B87" s="46"/>
      <c r="C87" s="141"/>
      <c r="D87" s="142"/>
      <c r="E87" s="46"/>
      <c r="G87" s="138"/>
      <c r="H87" s="46"/>
      <c r="I87" s="137"/>
      <c r="J87" s="138"/>
      <c r="K87" s="138"/>
      <c r="M87" s="21" t="s">
        <v>1</v>
      </c>
      <c r="Q87" s="28">
        <f aca="true" t="shared" si="70" ref="Q87:BE87">IF($BG$51=0,0,IF(Q$75=0,0,1))</f>
        <v>0</v>
      </c>
      <c r="R87" s="28">
        <f t="shared" si="70"/>
        <v>0</v>
      </c>
      <c r="S87" s="28">
        <f t="shared" si="70"/>
        <v>0</v>
      </c>
      <c r="T87" s="28">
        <f t="shared" si="70"/>
        <v>0</v>
      </c>
      <c r="U87" s="28">
        <f t="shared" si="70"/>
        <v>0</v>
      </c>
      <c r="V87" s="28">
        <f t="shared" si="70"/>
        <v>0</v>
      </c>
      <c r="W87" s="28">
        <f t="shared" si="70"/>
        <v>0</v>
      </c>
      <c r="X87" s="28">
        <f t="shared" si="70"/>
        <v>0</v>
      </c>
      <c r="Y87" s="28">
        <f t="shared" si="70"/>
        <v>0</v>
      </c>
      <c r="Z87" s="28">
        <f t="shared" si="70"/>
        <v>0</v>
      </c>
      <c r="AA87" s="28">
        <f t="shared" si="70"/>
        <v>0</v>
      </c>
      <c r="AB87" s="28">
        <f t="shared" si="70"/>
        <v>0</v>
      </c>
      <c r="AC87" s="28">
        <f t="shared" si="70"/>
        <v>0</v>
      </c>
      <c r="AD87" s="28">
        <f t="shared" si="70"/>
        <v>0</v>
      </c>
      <c r="AE87" s="28">
        <f t="shared" si="70"/>
        <v>0</v>
      </c>
      <c r="AF87" s="28">
        <f t="shared" si="70"/>
        <v>0</v>
      </c>
      <c r="AG87" s="28">
        <f t="shared" si="70"/>
        <v>0</v>
      </c>
      <c r="AH87" s="28">
        <f t="shared" si="70"/>
        <v>0</v>
      </c>
      <c r="AI87" s="28">
        <f t="shared" si="70"/>
        <v>0</v>
      </c>
      <c r="AJ87" s="28">
        <f t="shared" si="70"/>
        <v>0</v>
      </c>
      <c r="AK87" s="28">
        <f t="shared" si="70"/>
        <v>0</v>
      </c>
      <c r="AL87" s="28">
        <f t="shared" si="70"/>
        <v>0</v>
      </c>
      <c r="AM87" s="28">
        <f t="shared" si="70"/>
        <v>0</v>
      </c>
      <c r="AN87" s="28">
        <f t="shared" si="70"/>
        <v>0</v>
      </c>
      <c r="AO87" s="28">
        <f t="shared" si="70"/>
        <v>0</v>
      </c>
      <c r="AP87" s="28">
        <f t="shared" si="70"/>
        <v>0</v>
      </c>
      <c r="AQ87" s="28">
        <f t="shared" si="70"/>
        <v>0</v>
      </c>
      <c r="AR87" s="28">
        <f t="shared" si="70"/>
        <v>0</v>
      </c>
      <c r="AS87" s="28">
        <f t="shared" si="70"/>
        <v>0</v>
      </c>
      <c r="AT87" s="28">
        <f t="shared" si="70"/>
        <v>0</v>
      </c>
      <c r="AU87" s="28">
        <f t="shared" si="70"/>
        <v>0</v>
      </c>
      <c r="AV87" s="28">
        <f t="shared" si="70"/>
        <v>0</v>
      </c>
      <c r="AW87" s="28">
        <f t="shared" si="70"/>
        <v>0</v>
      </c>
      <c r="AX87" s="28">
        <f t="shared" si="70"/>
        <v>0</v>
      </c>
      <c r="AY87" s="28">
        <f t="shared" si="70"/>
        <v>0</v>
      </c>
      <c r="AZ87" s="28">
        <f t="shared" si="70"/>
        <v>0</v>
      </c>
      <c r="BA87" s="28">
        <f t="shared" si="70"/>
        <v>0</v>
      </c>
      <c r="BB87" s="28">
        <f t="shared" si="70"/>
        <v>0</v>
      </c>
      <c r="BC87" s="28">
        <f t="shared" si="70"/>
        <v>0</v>
      </c>
      <c r="BD87" s="28">
        <f t="shared" si="70"/>
        <v>0</v>
      </c>
      <c r="BE87" s="28">
        <f t="shared" si="70"/>
        <v>0</v>
      </c>
      <c r="BV87" s="21" t="s">
        <v>1</v>
      </c>
    </row>
    <row r="88" spans="2:74" ht="19.5" customHeight="1">
      <c r="B88" s="104"/>
      <c r="C88" s="118"/>
      <c r="D88" s="104"/>
      <c r="E88" s="105"/>
      <c r="G88" s="105"/>
      <c r="H88" s="118"/>
      <c r="I88" s="46"/>
      <c r="J88" s="46"/>
      <c r="K88" s="105"/>
      <c r="M88" s="21" t="s">
        <v>1</v>
      </c>
      <c r="O88" s="21" t="s">
        <v>88</v>
      </c>
      <c r="Q88" s="28">
        <f aca="true" t="shared" si="71" ref="Q88:BE88">IF($BG$52=0,0,IF(Q$75=0,0,1))</f>
        <v>0</v>
      </c>
      <c r="R88" s="28">
        <f t="shared" si="71"/>
        <v>0</v>
      </c>
      <c r="S88" s="28">
        <f t="shared" si="71"/>
        <v>0</v>
      </c>
      <c r="T88" s="28">
        <f t="shared" si="71"/>
        <v>0</v>
      </c>
      <c r="U88" s="28">
        <f t="shared" si="71"/>
        <v>0</v>
      </c>
      <c r="V88" s="28">
        <f t="shared" si="71"/>
        <v>0</v>
      </c>
      <c r="W88" s="28">
        <f t="shared" si="71"/>
        <v>0</v>
      </c>
      <c r="X88" s="28">
        <f t="shared" si="71"/>
        <v>0</v>
      </c>
      <c r="Y88" s="28">
        <f t="shared" si="71"/>
        <v>0</v>
      </c>
      <c r="Z88" s="28">
        <f t="shared" si="71"/>
        <v>0</v>
      </c>
      <c r="AA88" s="28">
        <f t="shared" si="71"/>
        <v>0</v>
      </c>
      <c r="AB88" s="28">
        <f t="shared" si="71"/>
        <v>0</v>
      </c>
      <c r="AC88" s="28">
        <f t="shared" si="71"/>
        <v>0</v>
      </c>
      <c r="AD88" s="28">
        <f t="shared" si="71"/>
        <v>0</v>
      </c>
      <c r="AE88" s="28">
        <f t="shared" si="71"/>
        <v>0</v>
      </c>
      <c r="AF88" s="28">
        <f t="shared" si="71"/>
        <v>0</v>
      </c>
      <c r="AG88" s="28">
        <f t="shared" si="71"/>
        <v>0</v>
      </c>
      <c r="AH88" s="28">
        <f t="shared" si="71"/>
        <v>0</v>
      </c>
      <c r="AI88" s="28">
        <f t="shared" si="71"/>
        <v>0</v>
      </c>
      <c r="AJ88" s="28">
        <f t="shared" si="71"/>
        <v>0</v>
      </c>
      <c r="AK88" s="28">
        <f t="shared" si="71"/>
        <v>0</v>
      </c>
      <c r="AL88" s="28">
        <f t="shared" si="71"/>
        <v>0</v>
      </c>
      <c r="AM88" s="28">
        <f t="shared" si="71"/>
        <v>0</v>
      </c>
      <c r="AN88" s="28">
        <f t="shared" si="71"/>
        <v>0</v>
      </c>
      <c r="AO88" s="28">
        <f t="shared" si="71"/>
        <v>0</v>
      </c>
      <c r="AP88" s="28">
        <f t="shared" si="71"/>
        <v>0</v>
      </c>
      <c r="AQ88" s="28">
        <f t="shared" si="71"/>
        <v>0</v>
      </c>
      <c r="AR88" s="28">
        <f t="shared" si="71"/>
        <v>0</v>
      </c>
      <c r="AS88" s="28">
        <f t="shared" si="71"/>
        <v>0</v>
      </c>
      <c r="AT88" s="28">
        <f t="shared" si="71"/>
        <v>0</v>
      </c>
      <c r="AU88" s="28">
        <f t="shared" si="71"/>
        <v>0</v>
      </c>
      <c r="AV88" s="28">
        <f t="shared" si="71"/>
        <v>0</v>
      </c>
      <c r="AW88" s="28">
        <f t="shared" si="71"/>
        <v>0</v>
      </c>
      <c r="AX88" s="28">
        <f t="shared" si="71"/>
        <v>0</v>
      </c>
      <c r="AY88" s="28">
        <f t="shared" si="71"/>
        <v>0</v>
      </c>
      <c r="AZ88" s="28">
        <f t="shared" si="71"/>
        <v>0</v>
      </c>
      <c r="BA88" s="28">
        <f t="shared" si="71"/>
        <v>0</v>
      </c>
      <c r="BB88" s="28">
        <f t="shared" si="71"/>
        <v>0</v>
      </c>
      <c r="BC88" s="28">
        <f t="shared" si="71"/>
        <v>0</v>
      </c>
      <c r="BD88" s="28">
        <f t="shared" si="71"/>
        <v>0</v>
      </c>
      <c r="BE88" s="28">
        <f t="shared" si="71"/>
        <v>0</v>
      </c>
      <c r="BV88" s="21" t="s">
        <v>1</v>
      </c>
    </row>
    <row r="89" spans="2:74" ht="19.5" customHeight="1">
      <c r="B89" s="104"/>
      <c r="C89" s="118"/>
      <c r="D89" s="107"/>
      <c r="E89" s="107"/>
      <c r="G89" s="107"/>
      <c r="H89" s="107"/>
      <c r="I89" s="106"/>
      <c r="J89" s="107"/>
      <c r="K89" s="107"/>
      <c r="M89" s="21" t="s">
        <v>1</v>
      </c>
      <c r="Q89" s="28">
        <f aca="true" t="shared" si="72" ref="Q89:BE89">IF($BG$53=0,0,IF(Q$75=0,0,1))</f>
        <v>0</v>
      </c>
      <c r="R89" s="28">
        <f t="shared" si="72"/>
        <v>0</v>
      </c>
      <c r="S89" s="28">
        <f t="shared" si="72"/>
        <v>0</v>
      </c>
      <c r="T89" s="28">
        <f t="shared" si="72"/>
        <v>0</v>
      </c>
      <c r="U89" s="28">
        <f t="shared" si="72"/>
        <v>0</v>
      </c>
      <c r="V89" s="28">
        <f t="shared" si="72"/>
        <v>0</v>
      </c>
      <c r="W89" s="28">
        <f t="shared" si="72"/>
        <v>0</v>
      </c>
      <c r="X89" s="28">
        <f t="shared" si="72"/>
        <v>0</v>
      </c>
      <c r="Y89" s="28">
        <f t="shared" si="72"/>
        <v>0</v>
      </c>
      <c r="Z89" s="28">
        <f t="shared" si="72"/>
        <v>0</v>
      </c>
      <c r="AA89" s="28">
        <f t="shared" si="72"/>
        <v>0</v>
      </c>
      <c r="AB89" s="28">
        <f t="shared" si="72"/>
        <v>0</v>
      </c>
      <c r="AC89" s="28">
        <f t="shared" si="72"/>
        <v>0</v>
      </c>
      <c r="AD89" s="28">
        <f t="shared" si="72"/>
        <v>0</v>
      </c>
      <c r="AE89" s="28">
        <f t="shared" si="72"/>
        <v>0</v>
      </c>
      <c r="AF89" s="28">
        <f t="shared" si="72"/>
        <v>0</v>
      </c>
      <c r="AG89" s="28">
        <f t="shared" si="72"/>
        <v>0</v>
      </c>
      <c r="AH89" s="28">
        <f t="shared" si="72"/>
        <v>0</v>
      </c>
      <c r="AI89" s="28">
        <f t="shared" si="72"/>
        <v>0</v>
      </c>
      <c r="AJ89" s="28">
        <f t="shared" si="72"/>
        <v>0</v>
      </c>
      <c r="AK89" s="28">
        <f t="shared" si="72"/>
        <v>0</v>
      </c>
      <c r="AL89" s="28">
        <f t="shared" si="72"/>
        <v>0</v>
      </c>
      <c r="AM89" s="28">
        <f t="shared" si="72"/>
        <v>0</v>
      </c>
      <c r="AN89" s="28">
        <f t="shared" si="72"/>
        <v>0</v>
      </c>
      <c r="AO89" s="28">
        <f t="shared" si="72"/>
        <v>0</v>
      </c>
      <c r="AP89" s="28">
        <f t="shared" si="72"/>
        <v>0</v>
      </c>
      <c r="AQ89" s="28">
        <f t="shared" si="72"/>
        <v>0</v>
      </c>
      <c r="AR89" s="28">
        <f t="shared" si="72"/>
        <v>0</v>
      </c>
      <c r="AS89" s="28">
        <f t="shared" si="72"/>
        <v>0</v>
      </c>
      <c r="AT89" s="28">
        <f t="shared" si="72"/>
        <v>0</v>
      </c>
      <c r="AU89" s="28">
        <f t="shared" si="72"/>
        <v>0</v>
      </c>
      <c r="AV89" s="28">
        <f t="shared" si="72"/>
        <v>0</v>
      </c>
      <c r="AW89" s="28">
        <f t="shared" si="72"/>
        <v>0</v>
      </c>
      <c r="AX89" s="28">
        <f t="shared" si="72"/>
        <v>0</v>
      </c>
      <c r="AY89" s="28">
        <f t="shared" si="72"/>
        <v>0</v>
      </c>
      <c r="AZ89" s="28">
        <f t="shared" si="72"/>
        <v>0</v>
      </c>
      <c r="BA89" s="28">
        <f t="shared" si="72"/>
        <v>0</v>
      </c>
      <c r="BB89" s="28">
        <f t="shared" si="72"/>
        <v>0</v>
      </c>
      <c r="BC89" s="28">
        <f t="shared" si="72"/>
        <v>0</v>
      </c>
      <c r="BD89" s="28">
        <f t="shared" si="72"/>
        <v>0</v>
      </c>
      <c r="BE89" s="28">
        <f t="shared" si="72"/>
        <v>0</v>
      </c>
      <c r="BV89" s="21" t="s">
        <v>1</v>
      </c>
    </row>
    <row r="90" spans="2:74" ht="19.5" customHeight="1">
      <c r="B90" s="104"/>
      <c r="C90" s="118"/>
      <c r="D90" s="108"/>
      <c r="E90" s="105"/>
      <c r="G90" s="105"/>
      <c r="H90" s="105"/>
      <c r="I90" s="109"/>
      <c r="J90" s="110"/>
      <c r="K90" s="105"/>
      <c r="M90" s="21" t="s">
        <v>1</v>
      </c>
      <c r="O90" s="21" t="s">
        <v>89</v>
      </c>
      <c r="Q90" s="28">
        <f aca="true" t="shared" si="73" ref="Q90:BE90">IF($BG$54=0,0,IF(Q$75=0,0,1))</f>
        <v>0</v>
      </c>
      <c r="R90" s="28">
        <f t="shared" si="73"/>
        <v>0</v>
      </c>
      <c r="S90" s="28">
        <f t="shared" si="73"/>
        <v>0</v>
      </c>
      <c r="T90" s="28">
        <f t="shared" si="73"/>
        <v>0</v>
      </c>
      <c r="U90" s="28">
        <f t="shared" si="73"/>
        <v>0</v>
      </c>
      <c r="V90" s="28">
        <f t="shared" si="73"/>
        <v>0</v>
      </c>
      <c r="W90" s="28">
        <f t="shared" si="73"/>
        <v>0</v>
      </c>
      <c r="X90" s="28">
        <f t="shared" si="73"/>
        <v>0</v>
      </c>
      <c r="Y90" s="28">
        <f t="shared" si="73"/>
        <v>0</v>
      </c>
      <c r="Z90" s="28">
        <f t="shared" si="73"/>
        <v>0</v>
      </c>
      <c r="AA90" s="28">
        <f t="shared" si="73"/>
        <v>0</v>
      </c>
      <c r="AB90" s="28">
        <f t="shared" si="73"/>
        <v>0</v>
      </c>
      <c r="AC90" s="28">
        <f t="shared" si="73"/>
        <v>0</v>
      </c>
      <c r="AD90" s="28">
        <f t="shared" si="73"/>
        <v>0</v>
      </c>
      <c r="AE90" s="28">
        <f t="shared" si="73"/>
        <v>0</v>
      </c>
      <c r="AF90" s="28">
        <f t="shared" si="73"/>
        <v>0</v>
      </c>
      <c r="AG90" s="28">
        <f t="shared" si="73"/>
        <v>0</v>
      </c>
      <c r="AH90" s="28">
        <f t="shared" si="73"/>
        <v>0</v>
      </c>
      <c r="AI90" s="28">
        <f t="shared" si="73"/>
        <v>0</v>
      </c>
      <c r="AJ90" s="28">
        <f t="shared" si="73"/>
        <v>0</v>
      </c>
      <c r="AK90" s="28">
        <f t="shared" si="73"/>
        <v>0</v>
      </c>
      <c r="AL90" s="28">
        <f t="shared" si="73"/>
        <v>0</v>
      </c>
      <c r="AM90" s="28">
        <f t="shared" si="73"/>
        <v>0</v>
      </c>
      <c r="AN90" s="28">
        <f t="shared" si="73"/>
        <v>0</v>
      </c>
      <c r="AO90" s="28">
        <f t="shared" si="73"/>
        <v>0</v>
      </c>
      <c r="AP90" s="28">
        <f t="shared" si="73"/>
        <v>0</v>
      </c>
      <c r="AQ90" s="28">
        <f t="shared" si="73"/>
        <v>0</v>
      </c>
      <c r="AR90" s="28">
        <f t="shared" si="73"/>
        <v>0</v>
      </c>
      <c r="AS90" s="28">
        <f t="shared" si="73"/>
        <v>0</v>
      </c>
      <c r="AT90" s="28">
        <f t="shared" si="73"/>
        <v>0</v>
      </c>
      <c r="AU90" s="28">
        <f t="shared" si="73"/>
        <v>0</v>
      </c>
      <c r="AV90" s="28">
        <f t="shared" si="73"/>
        <v>0</v>
      </c>
      <c r="AW90" s="28">
        <f t="shared" si="73"/>
        <v>0</v>
      </c>
      <c r="AX90" s="28">
        <f t="shared" si="73"/>
        <v>0</v>
      </c>
      <c r="AY90" s="28">
        <f t="shared" si="73"/>
        <v>0</v>
      </c>
      <c r="AZ90" s="28">
        <f t="shared" si="73"/>
        <v>0</v>
      </c>
      <c r="BA90" s="28">
        <f t="shared" si="73"/>
        <v>0</v>
      </c>
      <c r="BB90" s="28">
        <f t="shared" si="73"/>
        <v>0</v>
      </c>
      <c r="BC90" s="28">
        <f t="shared" si="73"/>
        <v>0</v>
      </c>
      <c r="BD90" s="28">
        <f t="shared" si="73"/>
        <v>0</v>
      </c>
      <c r="BE90" s="28">
        <f t="shared" si="73"/>
        <v>0</v>
      </c>
      <c r="BV90" s="21" t="s">
        <v>1</v>
      </c>
    </row>
    <row r="91" spans="2:74" ht="19.5" customHeight="1">
      <c r="B91" s="46"/>
      <c r="C91" s="110"/>
      <c r="D91" s="108"/>
      <c r="E91" s="105"/>
      <c r="G91" s="105"/>
      <c r="H91" s="105"/>
      <c r="I91" s="109"/>
      <c r="J91" s="110"/>
      <c r="K91" s="105"/>
      <c r="M91" s="21" t="s">
        <v>1</v>
      </c>
      <c r="Q91" s="28">
        <f aca="true" t="shared" si="74" ref="Q91:BE91">IF($BG$55=0,0,IF(Q$75=0,0,1))</f>
        <v>0</v>
      </c>
      <c r="R91" s="28">
        <f t="shared" si="74"/>
        <v>0</v>
      </c>
      <c r="S91" s="28">
        <f t="shared" si="74"/>
        <v>0</v>
      </c>
      <c r="T91" s="28">
        <f t="shared" si="74"/>
        <v>0</v>
      </c>
      <c r="U91" s="28">
        <f t="shared" si="74"/>
        <v>0</v>
      </c>
      <c r="V91" s="28">
        <f t="shared" si="74"/>
        <v>0</v>
      </c>
      <c r="W91" s="28">
        <f t="shared" si="74"/>
        <v>0</v>
      </c>
      <c r="X91" s="28">
        <f t="shared" si="74"/>
        <v>0</v>
      </c>
      <c r="Y91" s="28">
        <f t="shared" si="74"/>
        <v>0</v>
      </c>
      <c r="Z91" s="28">
        <f t="shared" si="74"/>
        <v>0</v>
      </c>
      <c r="AA91" s="28">
        <f t="shared" si="74"/>
        <v>0</v>
      </c>
      <c r="AB91" s="28">
        <f t="shared" si="74"/>
        <v>0</v>
      </c>
      <c r="AC91" s="28">
        <f t="shared" si="74"/>
        <v>0</v>
      </c>
      <c r="AD91" s="28">
        <f t="shared" si="74"/>
        <v>0</v>
      </c>
      <c r="AE91" s="28">
        <f t="shared" si="74"/>
        <v>0</v>
      </c>
      <c r="AF91" s="28">
        <f t="shared" si="74"/>
        <v>0</v>
      </c>
      <c r="AG91" s="28">
        <f t="shared" si="74"/>
        <v>0</v>
      </c>
      <c r="AH91" s="28">
        <f t="shared" si="74"/>
        <v>0</v>
      </c>
      <c r="AI91" s="28">
        <f t="shared" si="74"/>
        <v>0</v>
      </c>
      <c r="AJ91" s="28">
        <f t="shared" si="74"/>
        <v>0</v>
      </c>
      <c r="AK91" s="28">
        <f t="shared" si="74"/>
        <v>0</v>
      </c>
      <c r="AL91" s="28">
        <f t="shared" si="74"/>
        <v>0</v>
      </c>
      <c r="AM91" s="28">
        <f t="shared" si="74"/>
        <v>0</v>
      </c>
      <c r="AN91" s="28">
        <f t="shared" si="74"/>
        <v>0</v>
      </c>
      <c r="AO91" s="28">
        <f t="shared" si="74"/>
        <v>0</v>
      </c>
      <c r="AP91" s="28">
        <f t="shared" si="74"/>
        <v>0</v>
      </c>
      <c r="AQ91" s="28">
        <f t="shared" si="74"/>
        <v>0</v>
      </c>
      <c r="AR91" s="28">
        <f t="shared" si="74"/>
        <v>0</v>
      </c>
      <c r="AS91" s="28">
        <f t="shared" si="74"/>
        <v>0</v>
      </c>
      <c r="AT91" s="28">
        <f t="shared" si="74"/>
        <v>0</v>
      </c>
      <c r="AU91" s="28">
        <f t="shared" si="74"/>
        <v>0</v>
      </c>
      <c r="AV91" s="28">
        <f t="shared" si="74"/>
        <v>0</v>
      </c>
      <c r="AW91" s="28">
        <f t="shared" si="74"/>
        <v>0</v>
      </c>
      <c r="AX91" s="28">
        <f t="shared" si="74"/>
        <v>0</v>
      </c>
      <c r="AY91" s="28">
        <f t="shared" si="74"/>
        <v>0</v>
      </c>
      <c r="AZ91" s="28">
        <f t="shared" si="74"/>
        <v>0</v>
      </c>
      <c r="BA91" s="28">
        <f t="shared" si="74"/>
        <v>0</v>
      </c>
      <c r="BB91" s="28">
        <f t="shared" si="74"/>
        <v>0</v>
      </c>
      <c r="BC91" s="28">
        <f t="shared" si="74"/>
        <v>0</v>
      </c>
      <c r="BD91" s="28">
        <f t="shared" si="74"/>
        <v>0</v>
      </c>
      <c r="BE91" s="28">
        <f t="shared" si="74"/>
        <v>0</v>
      </c>
      <c r="BV91" s="21" t="s">
        <v>1</v>
      </c>
    </row>
    <row r="92" spans="2:74" ht="19.5" customHeight="1">
      <c r="B92" s="119"/>
      <c r="C92" s="46"/>
      <c r="D92" s="113"/>
      <c r="E92" s="113"/>
      <c r="G92" s="113"/>
      <c r="H92" s="113"/>
      <c r="I92" s="46"/>
      <c r="J92" s="46"/>
      <c r="K92" s="113"/>
      <c r="M92" s="21" t="s">
        <v>1</v>
      </c>
      <c r="O92" s="21" t="s">
        <v>90</v>
      </c>
      <c r="Q92" s="28">
        <f aca="true" t="shared" si="75" ref="Q92:BE92">IF($BG$56=0,0,IF(Q$75=0,0,1))</f>
        <v>0</v>
      </c>
      <c r="R92" s="28">
        <f t="shared" si="75"/>
        <v>0</v>
      </c>
      <c r="S92" s="28">
        <f t="shared" si="75"/>
        <v>0</v>
      </c>
      <c r="T92" s="28">
        <f t="shared" si="75"/>
        <v>0</v>
      </c>
      <c r="U92" s="28">
        <f t="shared" si="75"/>
        <v>0</v>
      </c>
      <c r="V92" s="28">
        <f t="shared" si="75"/>
        <v>0</v>
      </c>
      <c r="W92" s="28">
        <f t="shared" si="75"/>
        <v>0</v>
      </c>
      <c r="X92" s="28">
        <f t="shared" si="75"/>
        <v>0</v>
      </c>
      <c r="Y92" s="28">
        <f t="shared" si="75"/>
        <v>0</v>
      </c>
      <c r="Z92" s="28">
        <f t="shared" si="75"/>
        <v>0</v>
      </c>
      <c r="AA92" s="28">
        <f t="shared" si="75"/>
        <v>0</v>
      </c>
      <c r="AB92" s="28">
        <f t="shared" si="75"/>
        <v>0</v>
      </c>
      <c r="AC92" s="28">
        <f t="shared" si="75"/>
        <v>0</v>
      </c>
      <c r="AD92" s="28">
        <f t="shared" si="75"/>
        <v>0</v>
      </c>
      <c r="AE92" s="28">
        <f t="shared" si="75"/>
        <v>0</v>
      </c>
      <c r="AF92" s="28">
        <f t="shared" si="75"/>
        <v>0</v>
      </c>
      <c r="AG92" s="28">
        <f t="shared" si="75"/>
        <v>0</v>
      </c>
      <c r="AH92" s="28">
        <f t="shared" si="75"/>
        <v>0</v>
      </c>
      <c r="AI92" s="28">
        <f t="shared" si="75"/>
        <v>0</v>
      </c>
      <c r="AJ92" s="28">
        <f t="shared" si="75"/>
        <v>0</v>
      </c>
      <c r="AK92" s="28">
        <f t="shared" si="75"/>
        <v>0</v>
      </c>
      <c r="AL92" s="28">
        <f t="shared" si="75"/>
        <v>0</v>
      </c>
      <c r="AM92" s="28">
        <f t="shared" si="75"/>
        <v>0</v>
      </c>
      <c r="AN92" s="28">
        <f t="shared" si="75"/>
        <v>0</v>
      </c>
      <c r="AO92" s="28">
        <f t="shared" si="75"/>
        <v>0</v>
      </c>
      <c r="AP92" s="28">
        <f t="shared" si="75"/>
        <v>0</v>
      </c>
      <c r="AQ92" s="28">
        <f t="shared" si="75"/>
        <v>0</v>
      </c>
      <c r="AR92" s="28">
        <f t="shared" si="75"/>
        <v>0</v>
      </c>
      <c r="AS92" s="28">
        <f t="shared" si="75"/>
        <v>0</v>
      </c>
      <c r="AT92" s="28">
        <f t="shared" si="75"/>
        <v>0</v>
      </c>
      <c r="AU92" s="28">
        <f t="shared" si="75"/>
        <v>0</v>
      </c>
      <c r="AV92" s="28">
        <f t="shared" si="75"/>
        <v>0</v>
      </c>
      <c r="AW92" s="28">
        <f t="shared" si="75"/>
        <v>0</v>
      </c>
      <c r="AX92" s="28">
        <f t="shared" si="75"/>
        <v>0</v>
      </c>
      <c r="AY92" s="28">
        <f t="shared" si="75"/>
        <v>0</v>
      </c>
      <c r="AZ92" s="28">
        <f t="shared" si="75"/>
        <v>0</v>
      </c>
      <c r="BA92" s="28">
        <f t="shared" si="75"/>
        <v>0</v>
      </c>
      <c r="BB92" s="28">
        <f t="shared" si="75"/>
        <v>0</v>
      </c>
      <c r="BC92" s="28">
        <f t="shared" si="75"/>
        <v>0</v>
      </c>
      <c r="BD92" s="28">
        <f t="shared" si="75"/>
        <v>0</v>
      </c>
      <c r="BE92" s="28">
        <f t="shared" si="75"/>
        <v>0</v>
      </c>
      <c r="BV92" s="21" t="s">
        <v>1</v>
      </c>
    </row>
    <row r="93" spans="2:74" ht="19.5" customHeight="1">
      <c r="B93" s="46"/>
      <c r="C93" s="46"/>
      <c r="D93" s="46"/>
      <c r="E93" s="46"/>
      <c r="G93" s="46"/>
      <c r="H93" s="46"/>
      <c r="I93" s="46"/>
      <c r="J93" s="46"/>
      <c r="K93" s="46"/>
      <c r="M93" s="21" t="s">
        <v>1</v>
      </c>
      <c r="Q93" s="28">
        <f aca="true" t="shared" si="76" ref="Q93:BE93">IF($BG$57=0,0,IF(Q$75=0,0,1))</f>
        <v>0</v>
      </c>
      <c r="R93" s="28">
        <f t="shared" si="76"/>
        <v>0</v>
      </c>
      <c r="S93" s="28">
        <f t="shared" si="76"/>
        <v>0</v>
      </c>
      <c r="T93" s="28">
        <f t="shared" si="76"/>
        <v>0</v>
      </c>
      <c r="U93" s="28">
        <f t="shared" si="76"/>
        <v>0</v>
      </c>
      <c r="V93" s="28">
        <f t="shared" si="76"/>
        <v>0</v>
      </c>
      <c r="W93" s="28">
        <f t="shared" si="76"/>
        <v>0</v>
      </c>
      <c r="X93" s="28">
        <f t="shared" si="76"/>
        <v>0</v>
      </c>
      <c r="Y93" s="28">
        <f t="shared" si="76"/>
        <v>0</v>
      </c>
      <c r="Z93" s="28">
        <f t="shared" si="76"/>
        <v>0</v>
      </c>
      <c r="AA93" s="28">
        <f t="shared" si="76"/>
        <v>0</v>
      </c>
      <c r="AB93" s="28">
        <f t="shared" si="76"/>
        <v>0</v>
      </c>
      <c r="AC93" s="28">
        <f t="shared" si="76"/>
        <v>0</v>
      </c>
      <c r="AD93" s="28">
        <f t="shared" si="76"/>
        <v>0</v>
      </c>
      <c r="AE93" s="28">
        <f t="shared" si="76"/>
        <v>0</v>
      </c>
      <c r="AF93" s="28">
        <f t="shared" si="76"/>
        <v>0</v>
      </c>
      <c r="AG93" s="28">
        <f t="shared" si="76"/>
        <v>0</v>
      </c>
      <c r="AH93" s="28">
        <f t="shared" si="76"/>
        <v>0</v>
      </c>
      <c r="AI93" s="28">
        <f t="shared" si="76"/>
        <v>0</v>
      </c>
      <c r="AJ93" s="28">
        <f t="shared" si="76"/>
        <v>0</v>
      </c>
      <c r="AK93" s="28">
        <f t="shared" si="76"/>
        <v>0</v>
      </c>
      <c r="AL93" s="28">
        <f t="shared" si="76"/>
        <v>0</v>
      </c>
      <c r="AM93" s="28">
        <f t="shared" si="76"/>
        <v>0</v>
      </c>
      <c r="AN93" s="28">
        <f t="shared" si="76"/>
        <v>0</v>
      </c>
      <c r="AO93" s="28">
        <f t="shared" si="76"/>
        <v>0</v>
      </c>
      <c r="AP93" s="28">
        <f t="shared" si="76"/>
        <v>0</v>
      </c>
      <c r="AQ93" s="28">
        <f t="shared" si="76"/>
        <v>0</v>
      </c>
      <c r="AR93" s="28">
        <f t="shared" si="76"/>
        <v>0</v>
      </c>
      <c r="AS93" s="28">
        <f t="shared" si="76"/>
        <v>0</v>
      </c>
      <c r="AT93" s="28">
        <f t="shared" si="76"/>
        <v>0</v>
      </c>
      <c r="AU93" s="28">
        <f t="shared" si="76"/>
        <v>0</v>
      </c>
      <c r="AV93" s="28">
        <f t="shared" si="76"/>
        <v>0</v>
      </c>
      <c r="AW93" s="28">
        <f t="shared" si="76"/>
        <v>0</v>
      </c>
      <c r="AX93" s="28">
        <f t="shared" si="76"/>
        <v>0</v>
      </c>
      <c r="AY93" s="28">
        <f t="shared" si="76"/>
        <v>0</v>
      </c>
      <c r="AZ93" s="28">
        <f t="shared" si="76"/>
        <v>0</v>
      </c>
      <c r="BA93" s="28">
        <f t="shared" si="76"/>
        <v>0</v>
      </c>
      <c r="BB93" s="28">
        <f t="shared" si="76"/>
        <v>0</v>
      </c>
      <c r="BC93" s="28">
        <f t="shared" si="76"/>
        <v>0</v>
      </c>
      <c r="BD93" s="28">
        <f t="shared" si="76"/>
        <v>0</v>
      </c>
      <c r="BE93" s="28">
        <f t="shared" si="76"/>
        <v>0</v>
      </c>
      <c r="BF93" s="3"/>
      <c r="BV93" s="21" t="s">
        <v>1</v>
      </c>
    </row>
    <row r="94" spans="2:74" ht="15">
      <c r="B94" s="120"/>
      <c r="C94" s="121"/>
      <c r="D94" s="111"/>
      <c r="E94" s="179"/>
      <c r="G94" s="179"/>
      <c r="H94" s="180"/>
      <c r="I94" s="46"/>
      <c r="J94" s="46"/>
      <c r="K94" s="179"/>
      <c r="M94" s="21" t="s">
        <v>1</v>
      </c>
      <c r="O94" s="21" t="s">
        <v>91</v>
      </c>
      <c r="Q94" s="28">
        <f aca="true" t="shared" si="77" ref="Q94:BE94">IF($BG$58=0,0,IF(Q$75=0,0,1))</f>
        <v>0</v>
      </c>
      <c r="R94" s="28">
        <f t="shared" si="77"/>
        <v>0</v>
      </c>
      <c r="S94" s="28">
        <f t="shared" si="77"/>
        <v>0</v>
      </c>
      <c r="T94" s="28">
        <f t="shared" si="77"/>
        <v>0</v>
      </c>
      <c r="U94" s="28">
        <f t="shared" si="77"/>
        <v>0</v>
      </c>
      <c r="V94" s="28">
        <f t="shared" si="77"/>
        <v>0</v>
      </c>
      <c r="W94" s="28">
        <f t="shared" si="77"/>
        <v>0</v>
      </c>
      <c r="X94" s="28">
        <f t="shared" si="77"/>
        <v>0</v>
      </c>
      <c r="Y94" s="28">
        <f t="shared" si="77"/>
        <v>0</v>
      </c>
      <c r="Z94" s="28">
        <f t="shared" si="77"/>
        <v>0</v>
      </c>
      <c r="AA94" s="28">
        <f t="shared" si="77"/>
        <v>0</v>
      </c>
      <c r="AB94" s="28">
        <f t="shared" si="77"/>
        <v>0</v>
      </c>
      <c r="AC94" s="28">
        <f t="shared" si="77"/>
        <v>0</v>
      </c>
      <c r="AD94" s="28">
        <f t="shared" si="77"/>
        <v>0</v>
      </c>
      <c r="AE94" s="28">
        <f t="shared" si="77"/>
        <v>0</v>
      </c>
      <c r="AF94" s="28">
        <f t="shared" si="77"/>
        <v>0</v>
      </c>
      <c r="AG94" s="28">
        <f t="shared" si="77"/>
        <v>0</v>
      </c>
      <c r="AH94" s="28">
        <f t="shared" si="77"/>
        <v>0</v>
      </c>
      <c r="AI94" s="28">
        <f t="shared" si="77"/>
        <v>0</v>
      </c>
      <c r="AJ94" s="28">
        <f t="shared" si="77"/>
        <v>0</v>
      </c>
      <c r="AK94" s="28">
        <f t="shared" si="77"/>
        <v>0</v>
      </c>
      <c r="AL94" s="28">
        <f t="shared" si="77"/>
        <v>0</v>
      </c>
      <c r="AM94" s="28">
        <f t="shared" si="77"/>
        <v>0</v>
      </c>
      <c r="AN94" s="28">
        <f t="shared" si="77"/>
        <v>0</v>
      </c>
      <c r="AO94" s="28">
        <f t="shared" si="77"/>
        <v>0</v>
      </c>
      <c r="AP94" s="28">
        <f t="shared" si="77"/>
        <v>0</v>
      </c>
      <c r="AQ94" s="28">
        <f t="shared" si="77"/>
        <v>0</v>
      </c>
      <c r="AR94" s="28">
        <f t="shared" si="77"/>
        <v>0</v>
      </c>
      <c r="AS94" s="28">
        <f t="shared" si="77"/>
        <v>0</v>
      </c>
      <c r="AT94" s="28">
        <f t="shared" si="77"/>
        <v>0</v>
      </c>
      <c r="AU94" s="28">
        <f t="shared" si="77"/>
        <v>0</v>
      </c>
      <c r="AV94" s="28">
        <f t="shared" si="77"/>
        <v>0</v>
      </c>
      <c r="AW94" s="28">
        <f t="shared" si="77"/>
        <v>0</v>
      </c>
      <c r="AX94" s="28">
        <f t="shared" si="77"/>
        <v>0</v>
      </c>
      <c r="AY94" s="28">
        <f t="shared" si="77"/>
        <v>0</v>
      </c>
      <c r="AZ94" s="28">
        <f t="shared" si="77"/>
        <v>0</v>
      </c>
      <c r="BA94" s="28">
        <f t="shared" si="77"/>
        <v>0</v>
      </c>
      <c r="BB94" s="28">
        <f t="shared" si="77"/>
        <v>0</v>
      </c>
      <c r="BC94" s="28">
        <f t="shared" si="77"/>
        <v>0</v>
      </c>
      <c r="BD94" s="28">
        <f t="shared" si="77"/>
        <v>0</v>
      </c>
      <c r="BE94" s="28">
        <f t="shared" si="77"/>
        <v>0</v>
      </c>
      <c r="BF94" s="3"/>
      <c r="BJ94" s="3"/>
      <c r="BK94" s="3"/>
      <c r="BL94" s="3"/>
      <c r="BM94" s="3"/>
      <c r="BN94" s="3"/>
      <c r="BO94" s="3"/>
      <c r="BP94" s="3"/>
      <c r="BQ94" s="3"/>
      <c r="BR94" s="3"/>
      <c r="BS94" s="3"/>
      <c r="BT94" s="3"/>
      <c r="BU94" s="3"/>
      <c r="BV94" s="21" t="s">
        <v>1</v>
      </c>
    </row>
    <row r="95" spans="2:74" ht="19.5" customHeight="1">
      <c r="B95" s="120"/>
      <c r="C95" s="115"/>
      <c r="D95" s="111"/>
      <c r="E95" s="181"/>
      <c r="G95" s="181"/>
      <c r="H95" s="182"/>
      <c r="I95" s="46"/>
      <c r="J95" s="46"/>
      <c r="K95" s="181"/>
      <c r="M95" s="21" t="s">
        <v>1</v>
      </c>
      <c r="Q95" s="28">
        <f aca="true" t="shared" si="78" ref="Q95:BE95">IF($BG$59=0,0,IF(Q$75=0,0,1))</f>
        <v>0</v>
      </c>
      <c r="R95" s="28">
        <f t="shared" si="78"/>
        <v>0</v>
      </c>
      <c r="S95" s="28">
        <f t="shared" si="78"/>
        <v>0</v>
      </c>
      <c r="T95" s="28">
        <f t="shared" si="78"/>
        <v>0</v>
      </c>
      <c r="U95" s="28">
        <f t="shared" si="78"/>
        <v>0</v>
      </c>
      <c r="V95" s="28">
        <f t="shared" si="78"/>
        <v>0</v>
      </c>
      <c r="W95" s="28">
        <f t="shared" si="78"/>
        <v>0</v>
      </c>
      <c r="X95" s="28">
        <f t="shared" si="78"/>
        <v>0</v>
      </c>
      <c r="Y95" s="28">
        <f t="shared" si="78"/>
        <v>0</v>
      </c>
      <c r="Z95" s="28">
        <f t="shared" si="78"/>
        <v>0</v>
      </c>
      <c r="AA95" s="28">
        <f t="shared" si="78"/>
        <v>0</v>
      </c>
      <c r="AB95" s="28">
        <f t="shared" si="78"/>
        <v>0</v>
      </c>
      <c r="AC95" s="28">
        <f t="shared" si="78"/>
        <v>0</v>
      </c>
      <c r="AD95" s="28">
        <f t="shared" si="78"/>
        <v>0</v>
      </c>
      <c r="AE95" s="28">
        <f t="shared" si="78"/>
        <v>0</v>
      </c>
      <c r="AF95" s="28">
        <f t="shared" si="78"/>
        <v>0</v>
      </c>
      <c r="AG95" s="28">
        <f t="shared" si="78"/>
        <v>0</v>
      </c>
      <c r="AH95" s="28">
        <f t="shared" si="78"/>
        <v>0</v>
      </c>
      <c r="AI95" s="28">
        <f t="shared" si="78"/>
        <v>0</v>
      </c>
      <c r="AJ95" s="28">
        <f t="shared" si="78"/>
        <v>0</v>
      </c>
      <c r="AK95" s="28">
        <f t="shared" si="78"/>
        <v>0</v>
      </c>
      <c r="AL95" s="28">
        <f t="shared" si="78"/>
        <v>0</v>
      </c>
      <c r="AM95" s="28">
        <f t="shared" si="78"/>
        <v>0</v>
      </c>
      <c r="AN95" s="28">
        <f t="shared" si="78"/>
        <v>0</v>
      </c>
      <c r="AO95" s="28">
        <f t="shared" si="78"/>
        <v>0</v>
      </c>
      <c r="AP95" s="28">
        <f t="shared" si="78"/>
        <v>0</v>
      </c>
      <c r="AQ95" s="28">
        <f t="shared" si="78"/>
        <v>0</v>
      </c>
      <c r="AR95" s="28">
        <f t="shared" si="78"/>
        <v>0</v>
      </c>
      <c r="AS95" s="28">
        <f t="shared" si="78"/>
        <v>0</v>
      </c>
      <c r="AT95" s="28">
        <f t="shared" si="78"/>
        <v>0</v>
      </c>
      <c r="AU95" s="28">
        <f t="shared" si="78"/>
        <v>0</v>
      </c>
      <c r="AV95" s="28">
        <f t="shared" si="78"/>
        <v>0</v>
      </c>
      <c r="AW95" s="28">
        <f t="shared" si="78"/>
        <v>0</v>
      </c>
      <c r="AX95" s="28">
        <f t="shared" si="78"/>
        <v>0</v>
      </c>
      <c r="AY95" s="28">
        <f t="shared" si="78"/>
        <v>0</v>
      </c>
      <c r="AZ95" s="28">
        <f t="shared" si="78"/>
        <v>0</v>
      </c>
      <c r="BA95" s="28">
        <f t="shared" si="78"/>
        <v>0</v>
      </c>
      <c r="BB95" s="28">
        <f t="shared" si="78"/>
        <v>0</v>
      </c>
      <c r="BC95" s="28">
        <f t="shared" si="78"/>
        <v>0</v>
      </c>
      <c r="BD95" s="28">
        <f t="shared" si="78"/>
        <v>0</v>
      </c>
      <c r="BE95" s="28">
        <f t="shared" si="78"/>
        <v>0</v>
      </c>
      <c r="BF95" s="3"/>
      <c r="BJ95" s="3"/>
      <c r="BK95" s="1"/>
      <c r="BM95" s="1"/>
      <c r="BQ95" s="1"/>
      <c r="BR95" s="1"/>
      <c r="BS95" s="1"/>
      <c r="BU95" s="1"/>
      <c r="BV95" s="21" t="s">
        <v>1</v>
      </c>
    </row>
    <row r="96" spans="2:87" ht="19.5" customHeight="1">
      <c r="B96" s="120"/>
      <c r="C96" s="115"/>
      <c r="D96" s="111"/>
      <c r="E96" s="182"/>
      <c r="G96" s="182"/>
      <c r="H96" s="182"/>
      <c r="I96" s="46"/>
      <c r="J96" s="46"/>
      <c r="K96" s="182"/>
      <c r="M96" s="21" t="s">
        <v>1</v>
      </c>
      <c r="O96" s="28" t="s">
        <v>92</v>
      </c>
      <c r="P96" s="28"/>
      <c r="Q96" s="28">
        <f aca="true" t="shared" si="79" ref="Q96:BE96">IF($BG$60=0,0,IF(Q$75=0,0,1))</f>
        <v>0</v>
      </c>
      <c r="R96" s="28">
        <f t="shared" si="79"/>
        <v>0</v>
      </c>
      <c r="S96" s="28">
        <f t="shared" si="79"/>
        <v>0</v>
      </c>
      <c r="T96" s="28">
        <f t="shared" si="79"/>
        <v>0</v>
      </c>
      <c r="U96" s="28">
        <f t="shared" si="79"/>
        <v>0</v>
      </c>
      <c r="V96" s="28">
        <f t="shared" si="79"/>
        <v>0</v>
      </c>
      <c r="W96" s="28">
        <f t="shared" si="79"/>
        <v>0</v>
      </c>
      <c r="X96" s="28">
        <f t="shared" si="79"/>
        <v>0</v>
      </c>
      <c r="Y96" s="28">
        <f t="shared" si="79"/>
        <v>0</v>
      </c>
      <c r="Z96" s="28">
        <f t="shared" si="79"/>
        <v>0</v>
      </c>
      <c r="AA96" s="28">
        <f t="shared" si="79"/>
        <v>0</v>
      </c>
      <c r="AB96" s="28">
        <f t="shared" si="79"/>
        <v>0</v>
      </c>
      <c r="AC96" s="28">
        <f t="shared" si="79"/>
        <v>0</v>
      </c>
      <c r="AD96" s="28">
        <f t="shared" si="79"/>
        <v>0</v>
      </c>
      <c r="AE96" s="28">
        <f t="shared" si="79"/>
        <v>0</v>
      </c>
      <c r="AF96" s="28">
        <f t="shared" si="79"/>
        <v>0</v>
      </c>
      <c r="AG96" s="28">
        <f t="shared" si="79"/>
        <v>0</v>
      </c>
      <c r="AH96" s="28">
        <f t="shared" si="79"/>
        <v>0</v>
      </c>
      <c r="AI96" s="28">
        <f t="shared" si="79"/>
        <v>0</v>
      </c>
      <c r="AJ96" s="28">
        <f t="shared" si="79"/>
        <v>0</v>
      </c>
      <c r="AK96" s="28">
        <f t="shared" si="79"/>
        <v>0</v>
      </c>
      <c r="AL96" s="28">
        <f t="shared" si="79"/>
        <v>0</v>
      </c>
      <c r="AM96" s="28">
        <f t="shared" si="79"/>
        <v>0</v>
      </c>
      <c r="AN96" s="28">
        <f t="shared" si="79"/>
        <v>0</v>
      </c>
      <c r="AO96" s="28">
        <f t="shared" si="79"/>
        <v>0</v>
      </c>
      <c r="AP96" s="28">
        <f t="shared" si="79"/>
        <v>0</v>
      </c>
      <c r="AQ96" s="28">
        <f t="shared" si="79"/>
        <v>0</v>
      </c>
      <c r="AR96" s="28">
        <f t="shared" si="79"/>
        <v>0</v>
      </c>
      <c r="AS96" s="28">
        <f t="shared" si="79"/>
        <v>0</v>
      </c>
      <c r="AT96" s="28">
        <f t="shared" si="79"/>
        <v>0</v>
      </c>
      <c r="AU96" s="28">
        <f t="shared" si="79"/>
        <v>0</v>
      </c>
      <c r="AV96" s="28">
        <f t="shared" si="79"/>
        <v>0</v>
      </c>
      <c r="AW96" s="28">
        <f t="shared" si="79"/>
        <v>0</v>
      </c>
      <c r="AX96" s="28">
        <f t="shared" si="79"/>
        <v>0</v>
      </c>
      <c r="AY96" s="28">
        <f t="shared" si="79"/>
        <v>0</v>
      </c>
      <c r="AZ96" s="28">
        <f t="shared" si="79"/>
        <v>0</v>
      </c>
      <c r="BA96" s="28">
        <f t="shared" si="79"/>
        <v>0</v>
      </c>
      <c r="BB96" s="28">
        <f t="shared" si="79"/>
        <v>0</v>
      </c>
      <c r="BC96" s="28">
        <f t="shared" si="79"/>
        <v>0</v>
      </c>
      <c r="BD96" s="28">
        <f t="shared" si="79"/>
        <v>0</v>
      </c>
      <c r="BE96" s="28">
        <f t="shared" si="79"/>
        <v>0</v>
      </c>
      <c r="BF96" s="3"/>
      <c r="BJ96" s="3"/>
      <c r="BK96" s="1"/>
      <c r="BL96" s="1"/>
      <c r="BM96" s="1"/>
      <c r="BQ96" s="1"/>
      <c r="BR96" s="1"/>
      <c r="BS96" s="1"/>
      <c r="BT96" s="1"/>
      <c r="BU96" s="1"/>
      <c r="BV96" s="21" t="s">
        <v>1</v>
      </c>
      <c r="CI96" s="2"/>
    </row>
    <row r="97" spans="2:87" ht="19.5" customHeight="1">
      <c r="B97" s="120"/>
      <c r="C97" s="115"/>
      <c r="D97" s="111"/>
      <c r="E97" s="181"/>
      <c r="G97" s="181"/>
      <c r="H97" s="182"/>
      <c r="I97" s="46"/>
      <c r="J97" s="46"/>
      <c r="K97" s="181"/>
      <c r="M97" s="21" t="s">
        <v>1</v>
      </c>
      <c r="Q97" s="28">
        <f aca="true" t="shared" si="80" ref="Q97:BE97">IF($BG$61=0,0,IF(Q$75=0,0,1))</f>
        <v>0</v>
      </c>
      <c r="R97" s="28">
        <f t="shared" si="80"/>
        <v>0</v>
      </c>
      <c r="S97" s="28">
        <f t="shared" si="80"/>
        <v>0</v>
      </c>
      <c r="T97" s="28">
        <f t="shared" si="80"/>
        <v>0</v>
      </c>
      <c r="U97" s="28">
        <f t="shared" si="80"/>
        <v>0</v>
      </c>
      <c r="V97" s="28">
        <f t="shared" si="80"/>
        <v>0</v>
      </c>
      <c r="W97" s="28">
        <f t="shared" si="80"/>
        <v>0</v>
      </c>
      <c r="X97" s="28">
        <f t="shared" si="80"/>
        <v>0</v>
      </c>
      <c r="Y97" s="28">
        <f t="shared" si="80"/>
        <v>0</v>
      </c>
      <c r="Z97" s="28">
        <f t="shared" si="80"/>
        <v>0</v>
      </c>
      <c r="AA97" s="28">
        <f t="shared" si="80"/>
        <v>0</v>
      </c>
      <c r="AB97" s="28">
        <f t="shared" si="80"/>
        <v>0</v>
      </c>
      <c r="AC97" s="28">
        <f t="shared" si="80"/>
        <v>0</v>
      </c>
      <c r="AD97" s="28">
        <f t="shared" si="80"/>
        <v>0</v>
      </c>
      <c r="AE97" s="28">
        <f t="shared" si="80"/>
        <v>0</v>
      </c>
      <c r="AF97" s="28">
        <f t="shared" si="80"/>
        <v>0</v>
      </c>
      <c r="AG97" s="28">
        <f t="shared" si="80"/>
        <v>0</v>
      </c>
      <c r="AH97" s="28">
        <f t="shared" si="80"/>
        <v>0</v>
      </c>
      <c r="AI97" s="28">
        <f t="shared" si="80"/>
        <v>0</v>
      </c>
      <c r="AJ97" s="28">
        <f t="shared" si="80"/>
        <v>0</v>
      </c>
      <c r="AK97" s="28">
        <f t="shared" si="80"/>
        <v>0</v>
      </c>
      <c r="AL97" s="28">
        <f t="shared" si="80"/>
        <v>0</v>
      </c>
      <c r="AM97" s="28">
        <f t="shared" si="80"/>
        <v>0</v>
      </c>
      <c r="AN97" s="28">
        <f t="shared" si="80"/>
        <v>0</v>
      </c>
      <c r="AO97" s="28">
        <f t="shared" si="80"/>
        <v>0</v>
      </c>
      <c r="AP97" s="28">
        <f t="shared" si="80"/>
        <v>0</v>
      </c>
      <c r="AQ97" s="28">
        <f t="shared" si="80"/>
        <v>0</v>
      </c>
      <c r="AR97" s="28">
        <f t="shared" si="80"/>
        <v>0</v>
      </c>
      <c r="AS97" s="28">
        <f t="shared" si="80"/>
        <v>0</v>
      </c>
      <c r="AT97" s="28">
        <f t="shared" si="80"/>
        <v>0</v>
      </c>
      <c r="AU97" s="28">
        <f t="shared" si="80"/>
        <v>0</v>
      </c>
      <c r="AV97" s="28">
        <f t="shared" si="80"/>
        <v>0</v>
      </c>
      <c r="AW97" s="28">
        <f t="shared" si="80"/>
        <v>0</v>
      </c>
      <c r="AX97" s="28">
        <f t="shared" si="80"/>
        <v>0</v>
      </c>
      <c r="AY97" s="28">
        <f t="shared" si="80"/>
        <v>0</v>
      </c>
      <c r="AZ97" s="28">
        <f t="shared" si="80"/>
        <v>0</v>
      </c>
      <c r="BA97" s="28">
        <f t="shared" si="80"/>
        <v>0</v>
      </c>
      <c r="BB97" s="28">
        <f t="shared" si="80"/>
        <v>0</v>
      </c>
      <c r="BC97" s="28">
        <f t="shared" si="80"/>
        <v>0</v>
      </c>
      <c r="BD97" s="28">
        <f t="shared" si="80"/>
        <v>0</v>
      </c>
      <c r="BE97" s="28">
        <f t="shared" si="80"/>
        <v>0</v>
      </c>
      <c r="BF97" s="3"/>
      <c r="BJ97" s="3"/>
      <c r="BL97" s="1"/>
      <c r="BM97" s="1"/>
      <c r="BQ97" s="1"/>
      <c r="BR97" s="1"/>
      <c r="BS97" s="1"/>
      <c r="BV97" s="21" t="s">
        <v>1</v>
      </c>
      <c r="CI97" s="2"/>
    </row>
    <row r="98" spans="2:87" ht="19.5" customHeight="1">
      <c r="B98" s="120"/>
      <c r="C98" s="121"/>
      <c r="D98" s="111"/>
      <c r="E98" s="179"/>
      <c r="G98" s="179"/>
      <c r="H98" s="180"/>
      <c r="I98" s="46"/>
      <c r="J98" s="46"/>
      <c r="K98" s="179"/>
      <c r="M98" s="21" t="s">
        <v>1</v>
      </c>
      <c r="O98" s="21" t="s">
        <v>93</v>
      </c>
      <c r="Q98" s="28">
        <f aca="true" t="shared" si="81" ref="Q98:BE98">IF($BG$62=0,0,IF(Q$75=0,0,1))</f>
        <v>0</v>
      </c>
      <c r="R98" s="28">
        <f t="shared" si="81"/>
        <v>0</v>
      </c>
      <c r="S98" s="28">
        <f t="shared" si="81"/>
        <v>0</v>
      </c>
      <c r="T98" s="28">
        <f t="shared" si="81"/>
        <v>0</v>
      </c>
      <c r="U98" s="28">
        <f t="shared" si="81"/>
        <v>0</v>
      </c>
      <c r="V98" s="28">
        <f t="shared" si="81"/>
        <v>0</v>
      </c>
      <c r="W98" s="28">
        <f t="shared" si="81"/>
        <v>0</v>
      </c>
      <c r="X98" s="28">
        <f t="shared" si="81"/>
        <v>0</v>
      </c>
      <c r="Y98" s="28">
        <f t="shared" si="81"/>
        <v>0</v>
      </c>
      <c r="Z98" s="28">
        <f t="shared" si="81"/>
        <v>0</v>
      </c>
      <c r="AA98" s="28">
        <f t="shared" si="81"/>
        <v>0</v>
      </c>
      <c r="AB98" s="28">
        <f t="shared" si="81"/>
        <v>0</v>
      </c>
      <c r="AC98" s="28">
        <f t="shared" si="81"/>
        <v>0</v>
      </c>
      <c r="AD98" s="28">
        <f t="shared" si="81"/>
        <v>0</v>
      </c>
      <c r="AE98" s="28">
        <f t="shared" si="81"/>
        <v>0</v>
      </c>
      <c r="AF98" s="28">
        <f t="shared" si="81"/>
        <v>0</v>
      </c>
      <c r="AG98" s="28">
        <f t="shared" si="81"/>
        <v>0</v>
      </c>
      <c r="AH98" s="28">
        <f t="shared" si="81"/>
        <v>0</v>
      </c>
      <c r="AI98" s="28">
        <f t="shared" si="81"/>
        <v>0</v>
      </c>
      <c r="AJ98" s="28">
        <f t="shared" si="81"/>
        <v>0</v>
      </c>
      <c r="AK98" s="28">
        <f t="shared" si="81"/>
        <v>0</v>
      </c>
      <c r="AL98" s="28">
        <f t="shared" si="81"/>
        <v>0</v>
      </c>
      <c r="AM98" s="28">
        <f t="shared" si="81"/>
        <v>0</v>
      </c>
      <c r="AN98" s="28">
        <f t="shared" si="81"/>
        <v>0</v>
      </c>
      <c r="AO98" s="28">
        <f t="shared" si="81"/>
        <v>0</v>
      </c>
      <c r="AP98" s="28">
        <f t="shared" si="81"/>
        <v>0</v>
      </c>
      <c r="AQ98" s="28">
        <f t="shared" si="81"/>
        <v>0</v>
      </c>
      <c r="AR98" s="28">
        <f t="shared" si="81"/>
        <v>0</v>
      </c>
      <c r="AS98" s="28">
        <f t="shared" si="81"/>
        <v>0</v>
      </c>
      <c r="AT98" s="28">
        <f t="shared" si="81"/>
        <v>0</v>
      </c>
      <c r="AU98" s="28">
        <f t="shared" si="81"/>
        <v>0</v>
      </c>
      <c r="AV98" s="28">
        <f t="shared" si="81"/>
        <v>0</v>
      </c>
      <c r="AW98" s="28">
        <f t="shared" si="81"/>
        <v>0</v>
      </c>
      <c r="AX98" s="28">
        <f t="shared" si="81"/>
        <v>0</v>
      </c>
      <c r="AY98" s="28">
        <f t="shared" si="81"/>
        <v>0</v>
      </c>
      <c r="AZ98" s="28">
        <f t="shared" si="81"/>
        <v>0</v>
      </c>
      <c r="BA98" s="28">
        <f t="shared" si="81"/>
        <v>0</v>
      </c>
      <c r="BB98" s="28">
        <f t="shared" si="81"/>
        <v>0</v>
      </c>
      <c r="BC98" s="28">
        <f t="shared" si="81"/>
        <v>0</v>
      </c>
      <c r="BD98" s="28">
        <f t="shared" si="81"/>
        <v>0</v>
      </c>
      <c r="BE98" s="28">
        <f t="shared" si="81"/>
        <v>0</v>
      </c>
      <c r="BF98" s="3"/>
      <c r="BJ98" s="3"/>
      <c r="BL98" s="1"/>
      <c r="BM98" s="1"/>
      <c r="BQ98" s="1"/>
      <c r="BR98" s="1"/>
      <c r="BS98" s="1"/>
      <c r="BU98" s="1"/>
      <c r="BV98" s="21" t="s">
        <v>1</v>
      </c>
      <c r="CI98" s="2"/>
    </row>
    <row r="99" spans="2:74" ht="19.5" customHeight="1">
      <c r="B99" s="120"/>
      <c r="C99" s="115"/>
      <c r="D99" s="111"/>
      <c r="E99" s="181"/>
      <c r="G99" s="181"/>
      <c r="H99" s="182"/>
      <c r="I99" s="46"/>
      <c r="J99" s="46"/>
      <c r="K99" s="181"/>
      <c r="M99" s="21" t="s">
        <v>1</v>
      </c>
      <c r="Q99" s="28">
        <f aca="true" t="shared" si="82" ref="Q99:BE99">IF($BG$63=0,0,IF(Q$75=0,0,1))</f>
        <v>0</v>
      </c>
      <c r="R99" s="28">
        <f t="shared" si="82"/>
        <v>0</v>
      </c>
      <c r="S99" s="28">
        <f t="shared" si="82"/>
        <v>0</v>
      </c>
      <c r="T99" s="28">
        <f t="shared" si="82"/>
        <v>0</v>
      </c>
      <c r="U99" s="28">
        <f t="shared" si="82"/>
        <v>0</v>
      </c>
      <c r="V99" s="28">
        <f t="shared" si="82"/>
        <v>0</v>
      </c>
      <c r="W99" s="28">
        <f t="shared" si="82"/>
        <v>0</v>
      </c>
      <c r="X99" s="28">
        <f t="shared" si="82"/>
        <v>0</v>
      </c>
      <c r="Y99" s="28">
        <f t="shared" si="82"/>
        <v>0</v>
      </c>
      <c r="Z99" s="28">
        <f t="shared" si="82"/>
        <v>0</v>
      </c>
      <c r="AA99" s="28">
        <f t="shared" si="82"/>
        <v>0</v>
      </c>
      <c r="AB99" s="28">
        <f t="shared" si="82"/>
        <v>0</v>
      </c>
      <c r="AC99" s="28">
        <f t="shared" si="82"/>
        <v>0</v>
      </c>
      <c r="AD99" s="28">
        <f t="shared" si="82"/>
        <v>0</v>
      </c>
      <c r="AE99" s="28">
        <f t="shared" si="82"/>
        <v>0</v>
      </c>
      <c r="AF99" s="28">
        <f t="shared" si="82"/>
        <v>0</v>
      </c>
      <c r="AG99" s="28">
        <f t="shared" si="82"/>
        <v>0</v>
      </c>
      <c r="AH99" s="28">
        <f t="shared" si="82"/>
        <v>0</v>
      </c>
      <c r="AI99" s="28">
        <f t="shared" si="82"/>
        <v>0</v>
      </c>
      <c r="AJ99" s="28">
        <f t="shared" si="82"/>
        <v>0</v>
      </c>
      <c r="AK99" s="28">
        <f t="shared" si="82"/>
        <v>0</v>
      </c>
      <c r="AL99" s="28">
        <f t="shared" si="82"/>
        <v>0</v>
      </c>
      <c r="AM99" s="28">
        <f t="shared" si="82"/>
        <v>0</v>
      </c>
      <c r="AN99" s="28">
        <f t="shared" si="82"/>
        <v>0</v>
      </c>
      <c r="AO99" s="28">
        <f t="shared" si="82"/>
        <v>0</v>
      </c>
      <c r="AP99" s="28">
        <f t="shared" si="82"/>
        <v>0</v>
      </c>
      <c r="AQ99" s="28">
        <f t="shared" si="82"/>
        <v>0</v>
      </c>
      <c r="AR99" s="28">
        <f t="shared" si="82"/>
        <v>0</v>
      </c>
      <c r="AS99" s="28">
        <f t="shared" si="82"/>
        <v>0</v>
      </c>
      <c r="AT99" s="28">
        <f t="shared" si="82"/>
        <v>0</v>
      </c>
      <c r="AU99" s="28">
        <f t="shared" si="82"/>
        <v>0</v>
      </c>
      <c r="AV99" s="28">
        <f t="shared" si="82"/>
        <v>0</v>
      </c>
      <c r="AW99" s="28">
        <f t="shared" si="82"/>
        <v>0</v>
      </c>
      <c r="AX99" s="28">
        <f t="shared" si="82"/>
        <v>0</v>
      </c>
      <c r="AY99" s="28">
        <f t="shared" si="82"/>
        <v>0</v>
      </c>
      <c r="AZ99" s="28">
        <f t="shared" si="82"/>
        <v>0</v>
      </c>
      <c r="BA99" s="28">
        <f t="shared" si="82"/>
        <v>0</v>
      </c>
      <c r="BB99" s="28">
        <f t="shared" si="82"/>
        <v>0</v>
      </c>
      <c r="BC99" s="28">
        <f t="shared" si="82"/>
        <v>0</v>
      </c>
      <c r="BD99" s="28">
        <f t="shared" si="82"/>
        <v>0</v>
      </c>
      <c r="BE99" s="28">
        <f t="shared" si="82"/>
        <v>0</v>
      </c>
      <c r="BF99" s="3"/>
      <c r="BJ99" s="3"/>
      <c r="BL99" s="1"/>
      <c r="BM99" s="1"/>
      <c r="BQ99" s="1"/>
      <c r="BR99" s="1"/>
      <c r="BS99" s="1"/>
      <c r="BT99" s="1"/>
      <c r="BU99" s="1"/>
      <c r="BV99" s="21" t="s">
        <v>1</v>
      </c>
    </row>
    <row r="100" spans="2:87" ht="19.5" customHeight="1">
      <c r="B100" s="120"/>
      <c r="C100" s="115"/>
      <c r="D100" s="111"/>
      <c r="E100" s="181"/>
      <c r="G100" s="181"/>
      <c r="H100" s="182"/>
      <c r="I100" s="46"/>
      <c r="J100" s="46"/>
      <c r="K100" s="181"/>
      <c r="M100" s="21" t="s">
        <v>1</v>
      </c>
      <c r="O100" s="21" t="s">
        <v>94</v>
      </c>
      <c r="Q100" s="28">
        <f aca="true" t="shared" si="83" ref="Q100:BE100">IF($BG$64=0,0,IF(Q$75=0,0,1))</f>
        <v>0</v>
      </c>
      <c r="R100" s="28">
        <f t="shared" si="83"/>
        <v>0</v>
      </c>
      <c r="S100" s="28">
        <f t="shared" si="83"/>
        <v>0</v>
      </c>
      <c r="T100" s="28">
        <f t="shared" si="83"/>
        <v>0</v>
      </c>
      <c r="U100" s="28">
        <f t="shared" si="83"/>
        <v>0</v>
      </c>
      <c r="V100" s="28">
        <f t="shared" si="83"/>
        <v>0</v>
      </c>
      <c r="W100" s="28">
        <f t="shared" si="83"/>
        <v>0</v>
      </c>
      <c r="X100" s="28">
        <f t="shared" si="83"/>
        <v>0</v>
      </c>
      <c r="Y100" s="28">
        <f t="shared" si="83"/>
        <v>0</v>
      </c>
      <c r="Z100" s="28">
        <f t="shared" si="83"/>
        <v>0</v>
      </c>
      <c r="AA100" s="28">
        <f t="shared" si="83"/>
        <v>0</v>
      </c>
      <c r="AB100" s="28">
        <f t="shared" si="83"/>
        <v>0</v>
      </c>
      <c r="AC100" s="28">
        <f t="shared" si="83"/>
        <v>0</v>
      </c>
      <c r="AD100" s="28">
        <f t="shared" si="83"/>
        <v>0</v>
      </c>
      <c r="AE100" s="28">
        <f t="shared" si="83"/>
        <v>0</v>
      </c>
      <c r="AF100" s="28">
        <f t="shared" si="83"/>
        <v>0</v>
      </c>
      <c r="AG100" s="28">
        <f t="shared" si="83"/>
        <v>0</v>
      </c>
      <c r="AH100" s="28">
        <f t="shared" si="83"/>
        <v>0</v>
      </c>
      <c r="AI100" s="28">
        <f t="shared" si="83"/>
        <v>0</v>
      </c>
      <c r="AJ100" s="28">
        <f t="shared" si="83"/>
        <v>0</v>
      </c>
      <c r="AK100" s="28">
        <f t="shared" si="83"/>
        <v>0</v>
      </c>
      <c r="AL100" s="28">
        <f t="shared" si="83"/>
        <v>0</v>
      </c>
      <c r="AM100" s="28">
        <f t="shared" si="83"/>
        <v>0</v>
      </c>
      <c r="AN100" s="28">
        <f t="shared" si="83"/>
        <v>0</v>
      </c>
      <c r="AO100" s="28">
        <f t="shared" si="83"/>
        <v>0</v>
      </c>
      <c r="AP100" s="28">
        <f t="shared" si="83"/>
        <v>0</v>
      </c>
      <c r="AQ100" s="28">
        <f t="shared" si="83"/>
        <v>0</v>
      </c>
      <c r="AR100" s="28">
        <f t="shared" si="83"/>
        <v>0</v>
      </c>
      <c r="AS100" s="28">
        <f t="shared" si="83"/>
        <v>0</v>
      </c>
      <c r="AT100" s="28">
        <f t="shared" si="83"/>
        <v>0</v>
      </c>
      <c r="AU100" s="28">
        <f t="shared" si="83"/>
        <v>0</v>
      </c>
      <c r="AV100" s="28">
        <f t="shared" si="83"/>
        <v>0</v>
      </c>
      <c r="AW100" s="28">
        <f t="shared" si="83"/>
        <v>0</v>
      </c>
      <c r="AX100" s="28">
        <f t="shared" si="83"/>
        <v>0</v>
      </c>
      <c r="AY100" s="28">
        <f t="shared" si="83"/>
        <v>0</v>
      </c>
      <c r="AZ100" s="28">
        <f t="shared" si="83"/>
        <v>0</v>
      </c>
      <c r="BA100" s="28">
        <f t="shared" si="83"/>
        <v>0</v>
      </c>
      <c r="BB100" s="28">
        <f t="shared" si="83"/>
        <v>0</v>
      </c>
      <c r="BC100" s="28">
        <f t="shared" si="83"/>
        <v>0</v>
      </c>
      <c r="BD100" s="28">
        <f t="shared" si="83"/>
        <v>0</v>
      </c>
      <c r="BE100" s="28">
        <f t="shared" si="83"/>
        <v>0</v>
      </c>
      <c r="BF100" s="3"/>
      <c r="BJ100" s="3"/>
      <c r="BL100" s="1"/>
      <c r="BM100" s="1"/>
      <c r="BQ100" s="1"/>
      <c r="BR100" s="1"/>
      <c r="BS100" s="1"/>
      <c r="BT100" s="1"/>
      <c r="BV100" s="21" t="s">
        <v>1</v>
      </c>
      <c r="CI100" s="2"/>
    </row>
    <row r="101" spans="2:87" ht="19.5" customHeight="1">
      <c r="B101" s="120"/>
      <c r="C101" s="115"/>
      <c r="D101" s="111"/>
      <c r="E101" s="181"/>
      <c r="G101" s="181"/>
      <c r="H101" s="182"/>
      <c r="I101" s="46"/>
      <c r="J101" s="46"/>
      <c r="K101" s="181"/>
      <c r="M101" s="21" t="s">
        <v>1</v>
      </c>
      <c r="Q101" s="28">
        <f aca="true" t="shared" si="84" ref="Q101:BE101">IF($BG$65=0,0,IF(Q$75=0,0,1))</f>
        <v>0</v>
      </c>
      <c r="R101" s="28">
        <f t="shared" si="84"/>
        <v>0</v>
      </c>
      <c r="S101" s="28">
        <f t="shared" si="84"/>
        <v>0</v>
      </c>
      <c r="T101" s="28">
        <f t="shared" si="84"/>
        <v>0</v>
      </c>
      <c r="U101" s="28">
        <f t="shared" si="84"/>
        <v>0</v>
      </c>
      <c r="V101" s="28">
        <f t="shared" si="84"/>
        <v>0</v>
      </c>
      <c r="W101" s="28">
        <f t="shared" si="84"/>
        <v>0</v>
      </c>
      <c r="X101" s="28">
        <f t="shared" si="84"/>
        <v>0</v>
      </c>
      <c r="Y101" s="28">
        <f t="shared" si="84"/>
        <v>0</v>
      </c>
      <c r="Z101" s="28">
        <f t="shared" si="84"/>
        <v>0</v>
      </c>
      <c r="AA101" s="28">
        <f t="shared" si="84"/>
        <v>0</v>
      </c>
      <c r="AB101" s="28">
        <f t="shared" si="84"/>
        <v>0</v>
      </c>
      <c r="AC101" s="28">
        <f t="shared" si="84"/>
        <v>0</v>
      </c>
      <c r="AD101" s="28">
        <f t="shared" si="84"/>
        <v>0</v>
      </c>
      <c r="AE101" s="28">
        <f t="shared" si="84"/>
        <v>0</v>
      </c>
      <c r="AF101" s="28">
        <f t="shared" si="84"/>
        <v>0</v>
      </c>
      <c r="AG101" s="28">
        <f t="shared" si="84"/>
        <v>0</v>
      </c>
      <c r="AH101" s="28">
        <f t="shared" si="84"/>
        <v>0</v>
      </c>
      <c r="AI101" s="28">
        <f t="shared" si="84"/>
        <v>0</v>
      </c>
      <c r="AJ101" s="28">
        <f t="shared" si="84"/>
        <v>0</v>
      </c>
      <c r="AK101" s="28">
        <f t="shared" si="84"/>
        <v>0</v>
      </c>
      <c r="AL101" s="28">
        <f t="shared" si="84"/>
        <v>0</v>
      </c>
      <c r="AM101" s="28">
        <f t="shared" si="84"/>
        <v>0</v>
      </c>
      <c r="AN101" s="28">
        <f t="shared" si="84"/>
        <v>0</v>
      </c>
      <c r="AO101" s="28">
        <f t="shared" si="84"/>
        <v>0</v>
      </c>
      <c r="AP101" s="28">
        <f t="shared" si="84"/>
        <v>0</v>
      </c>
      <c r="AQ101" s="28">
        <f t="shared" si="84"/>
        <v>0</v>
      </c>
      <c r="AR101" s="28">
        <f t="shared" si="84"/>
        <v>0</v>
      </c>
      <c r="AS101" s="28">
        <f t="shared" si="84"/>
        <v>0</v>
      </c>
      <c r="AT101" s="28">
        <f t="shared" si="84"/>
        <v>0</v>
      </c>
      <c r="AU101" s="28">
        <f t="shared" si="84"/>
        <v>0</v>
      </c>
      <c r="AV101" s="28">
        <f t="shared" si="84"/>
        <v>0</v>
      </c>
      <c r="AW101" s="28">
        <f t="shared" si="84"/>
        <v>0</v>
      </c>
      <c r="AX101" s="28">
        <f t="shared" si="84"/>
        <v>0</v>
      </c>
      <c r="AY101" s="28">
        <f t="shared" si="84"/>
        <v>0</v>
      </c>
      <c r="AZ101" s="28">
        <f t="shared" si="84"/>
        <v>0</v>
      </c>
      <c r="BA101" s="28">
        <f t="shared" si="84"/>
        <v>0</v>
      </c>
      <c r="BB101" s="28">
        <f t="shared" si="84"/>
        <v>0</v>
      </c>
      <c r="BC101" s="28">
        <f t="shared" si="84"/>
        <v>0</v>
      </c>
      <c r="BD101" s="28">
        <f t="shared" si="84"/>
        <v>0</v>
      </c>
      <c r="BE101" s="28">
        <f t="shared" si="84"/>
        <v>0</v>
      </c>
      <c r="BF101" s="3"/>
      <c r="BJ101" s="3"/>
      <c r="BL101" s="1"/>
      <c r="BM101" s="1"/>
      <c r="BQ101" s="1"/>
      <c r="BR101" s="1"/>
      <c r="BS101" s="1"/>
      <c r="BT101" s="1"/>
      <c r="BV101" s="21" t="s">
        <v>1</v>
      </c>
      <c r="CI101" s="2"/>
    </row>
    <row r="102" spans="2:74" ht="19.5" customHeight="1">
      <c r="B102" s="120"/>
      <c r="C102" s="115"/>
      <c r="D102" s="111"/>
      <c r="E102" s="181"/>
      <c r="G102" s="181"/>
      <c r="H102" s="182"/>
      <c r="I102" s="46"/>
      <c r="J102" s="46"/>
      <c r="K102" s="181"/>
      <c r="M102" s="21" t="s">
        <v>1</v>
      </c>
      <c r="O102" s="21" t="s">
        <v>95</v>
      </c>
      <c r="Q102" s="28">
        <f aca="true" t="shared" si="85" ref="Q102:BE102">IF($BG$66=0,0,IF(Q$75=0,0,1))</f>
        <v>0</v>
      </c>
      <c r="R102" s="28">
        <f t="shared" si="85"/>
        <v>0</v>
      </c>
      <c r="S102" s="28">
        <f t="shared" si="85"/>
        <v>0</v>
      </c>
      <c r="T102" s="28">
        <f t="shared" si="85"/>
        <v>0</v>
      </c>
      <c r="U102" s="28">
        <f t="shared" si="85"/>
        <v>0</v>
      </c>
      <c r="V102" s="28">
        <f t="shared" si="85"/>
        <v>0</v>
      </c>
      <c r="W102" s="28">
        <f t="shared" si="85"/>
        <v>0</v>
      </c>
      <c r="X102" s="28">
        <f t="shared" si="85"/>
        <v>0</v>
      </c>
      <c r="Y102" s="28">
        <f t="shared" si="85"/>
        <v>0</v>
      </c>
      <c r="Z102" s="28">
        <f t="shared" si="85"/>
        <v>0</v>
      </c>
      <c r="AA102" s="28">
        <f t="shared" si="85"/>
        <v>0</v>
      </c>
      <c r="AB102" s="28">
        <f t="shared" si="85"/>
        <v>0</v>
      </c>
      <c r="AC102" s="28">
        <f t="shared" si="85"/>
        <v>0</v>
      </c>
      <c r="AD102" s="28">
        <f t="shared" si="85"/>
        <v>0</v>
      </c>
      <c r="AE102" s="28">
        <f t="shared" si="85"/>
        <v>0</v>
      </c>
      <c r="AF102" s="28">
        <f t="shared" si="85"/>
        <v>0</v>
      </c>
      <c r="AG102" s="28">
        <f t="shared" si="85"/>
        <v>0</v>
      </c>
      <c r="AH102" s="28">
        <f t="shared" si="85"/>
        <v>0</v>
      </c>
      <c r="AI102" s="28">
        <f t="shared" si="85"/>
        <v>0</v>
      </c>
      <c r="AJ102" s="28">
        <f t="shared" si="85"/>
        <v>0</v>
      </c>
      <c r="AK102" s="28">
        <f t="shared" si="85"/>
        <v>0</v>
      </c>
      <c r="AL102" s="28">
        <f t="shared" si="85"/>
        <v>0</v>
      </c>
      <c r="AM102" s="28">
        <f t="shared" si="85"/>
        <v>0</v>
      </c>
      <c r="AN102" s="28">
        <f t="shared" si="85"/>
        <v>0</v>
      </c>
      <c r="AO102" s="28">
        <f t="shared" si="85"/>
        <v>0</v>
      </c>
      <c r="AP102" s="28">
        <f t="shared" si="85"/>
        <v>0</v>
      </c>
      <c r="AQ102" s="28">
        <f t="shared" si="85"/>
        <v>0</v>
      </c>
      <c r="AR102" s="28">
        <f t="shared" si="85"/>
        <v>0</v>
      </c>
      <c r="AS102" s="28">
        <f t="shared" si="85"/>
        <v>0</v>
      </c>
      <c r="AT102" s="28">
        <f t="shared" si="85"/>
        <v>0</v>
      </c>
      <c r="AU102" s="28">
        <f t="shared" si="85"/>
        <v>0</v>
      </c>
      <c r="AV102" s="28">
        <f t="shared" si="85"/>
        <v>0</v>
      </c>
      <c r="AW102" s="28">
        <f t="shared" si="85"/>
        <v>0</v>
      </c>
      <c r="AX102" s="28">
        <f t="shared" si="85"/>
        <v>0</v>
      </c>
      <c r="AY102" s="28">
        <f t="shared" si="85"/>
        <v>0</v>
      </c>
      <c r="AZ102" s="28">
        <f t="shared" si="85"/>
        <v>0</v>
      </c>
      <c r="BA102" s="28">
        <f t="shared" si="85"/>
        <v>0</v>
      </c>
      <c r="BB102" s="28">
        <f t="shared" si="85"/>
        <v>0</v>
      </c>
      <c r="BC102" s="28">
        <f t="shared" si="85"/>
        <v>0</v>
      </c>
      <c r="BD102" s="28">
        <f t="shared" si="85"/>
        <v>0</v>
      </c>
      <c r="BE102" s="28">
        <f t="shared" si="85"/>
        <v>0</v>
      </c>
      <c r="BF102" s="3"/>
      <c r="BJ102" s="3"/>
      <c r="BK102" s="1"/>
      <c r="BL102" s="1"/>
      <c r="BM102" s="1"/>
      <c r="BQ102" s="1"/>
      <c r="BR102" s="1"/>
      <c r="BS102" s="1"/>
      <c r="BT102" s="1"/>
      <c r="BU102" s="1"/>
      <c r="BV102" s="21" t="s">
        <v>1</v>
      </c>
    </row>
    <row r="103" spans="2:74" ht="19.5" customHeight="1">
      <c r="B103" s="120"/>
      <c r="C103" s="115"/>
      <c r="D103" s="111"/>
      <c r="E103" s="183"/>
      <c r="G103" s="183"/>
      <c r="H103" s="182"/>
      <c r="I103" s="46"/>
      <c r="J103" s="46"/>
      <c r="K103" s="183"/>
      <c r="M103" s="21" t="s">
        <v>1</v>
      </c>
      <c r="Q103" s="28">
        <f aca="true" t="shared" si="86" ref="Q103:BE103">IF($BG$67=0,0,IF(Q$75=0,0,1))</f>
        <v>0</v>
      </c>
      <c r="R103" s="28">
        <f t="shared" si="86"/>
        <v>0</v>
      </c>
      <c r="S103" s="28">
        <f t="shared" si="86"/>
        <v>0</v>
      </c>
      <c r="T103" s="28">
        <f t="shared" si="86"/>
        <v>0</v>
      </c>
      <c r="U103" s="28">
        <f t="shared" si="86"/>
        <v>0</v>
      </c>
      <c r="V103" s="28">
        <f t="shared" si="86"/>
        <v>0</v>
      </c>
      <c r="W103" s="28">
        <f t="shared" si="86"/>
        <v>0</v>
      </c>
      <c r="X103" s="28">
        <f t="shared" si="86"/>
        <v>0</v>
      </c>
      <c r="Y103" s="28">
        <f t="shared" si="86"/>
        <v>0</v>
      </c>
      <c r="Z103" s="28">
        <f t="shared" si="86"/>
        <v>0</v>
      </c>
      <c r="AA103" s="28">
        <f t="shared" si="86"/>
        <v>0</v>
      </c>
      <c r="AB103" s="28">
        <f t="shared" si="86"/>
        <v>0</v>
      </c>
      <c r="AC103" s="28">
        <f t="shared" si="86"/>
        <v>0</v>
      </c>
      <c r="AD103" s="28">
        <f t="shared" si="86"/>
        <v>0</v>
      </c>
      <c r="AE103" s="28">
        <f t="shared" si="86"/>
        <v>0</v>
      </c>
      <c r="AF103" s="28">
        <f t="shared" si="86"/>
        <v>0</v>
      </c>
      <c r="AG103" s="28">
        <f t="shared" si="86"/>
        <v>0</v>
      </c>
      <c r="AH103" s="28">
        <f t="shared" si="86"/>
        <v>0</v>
      </c>
      <c r="AI103" s="28">
        <f t="shared" si="86"/>
        <v>0</v>
      </c>
      <c r="AJ103" s="28">
        <f t="shared" si="86"/>
        <v>0</v>
      </c>
      <c r="AK103" s="28">
        <f t="shared" si="86"/>
        <v>0</v>
      </c>
      <c r="AL103" s="28">
        <f t="shared" si="86"/>
        <v>0</v>
      </c>
      <c r="AM103" s="28">
        <f t="shared" si="86"/>
        <v>0</v>
      </c>
      <c r="AN103" s="28">
        <f t="shared" si="86"/>
        <v>0</v>
      </c>
      <c r="AO103" s="28">
        <f t="shared" si="86"/>
        <v>0</v>
      </c>
      <c r="AP103" s="28">
        <f t="shared" si="86"/>
        <v>0</v>
      </c>
      <c r="AQ103" s="28">
        <f t="shared" si="86"/>
        <v>0</v>
      </c>
      <c r="AR103" s="28">
        <f t="shared" si="86"/>
        <v>0</v>
      </c>
      <c r="AS103" s="28">
        <f t="shared" si="86"/>
        <v>0</v>
      </c>
      <c r="AT103" s="28">
        <f t="shared" si="86"/>
        <v>0</v>
      </c>
      <c r="AU103" s="28">
        <f t="shared" si="86"/>
        <v>0</v>
      </c>
      <c r="AV103" s="28">
        <f t="shared" si="86"/>
        <v>0</v>
      </c>
      <c r="AW103" s="28">
        <f t="shared" si="86"/>
        <v>0</v>
      </c>
      <c r="AX103" s="28">
        <f t="shared" si="86"/>
        <v>0</v>
      </c>
      <c r="AY103" s="28">
        <f t="shared" si="86"/>
        <v>0</v>
      </c>
      <c r="AZ103" s="28">
        <f t="shared" si="86"/>
        <v>0</v>
      </c>
      <c r="BA103" s="28">
        <f t="shared" si="86"/>
        <v>0</v>
      </c>
      <c r="BB103" s="28">
        <f t="shared" si="86"/>
        <v>0</v>
      </c>
      <c r="BC103" s="28">
        <f t="shared" si="86"/>
        <v>0</v>
      </c>
      <c r="BD103" s="28">
        <f t="shared" si="86"/>
        <v>0</v>
      </c>
      <c r="BE103" s="28">
        <f t="shared" si="86"/>
        <v>0</v>
      </c>
      <c r="BF103" s="3"/>
      <c r="BJ103" s="3"/>
      <c r="BK103" s="1"/>
      <c r="BL103" s="1"/>
      <c r="BM103" s="1"/>
      <c r="BQ103" s="1"/>
      <c r="BR103" s="1"/>
      <c r="BS103" s="1"/>
      <c r="BT103" s="1"/>
      <c r="BU103" s="1"/>
      <c r="BV103" s="21" t="s">
        <v>1</v>
      </c>
    </row>
    <row r="104" spans="2:74" ht="19.5" customHeight="1">
      <c r="B104" s="120"/>
      <c r="C104" s="121"/>
      <c r="D104" s="111"/>
      <c r="E104" s="182"/>
      <c r="G104" s="182"/>
      <c r="H104" s="182"/>
      <c r="I104" s="46"/>
      <c r="J104" s="46"/>
      <c r="K104" s="182"/>
      <c r="M104" s="21" t="s">
        <v>1</v>
      </c>
      <c r="O104" s="21" t="s">
        <v>96</v>
      </c>
      <c r="Q104" s="28">
        <f aca="true" t="shared" si="87" ref="Q104:BE104">IF($BG$68=0,0,IF(Q$75=0,0,1))</f>
        <v>0</v>
      </c>
      <c r="R104" s="28">
        <f t="shared" si="87"/>
        <v>0</v>
      </c>
      <c r="S104" s="28">
        <f t="shared" si="87"/>
        <v>0</v>
      </c>
      <c r="T104" s="28">
        <f t="shared" si="87"/>
        <v>0</v>
      </c>
      <c r="U104" s="28">
        <f t="shared" si="87"/>
        <v>0</v>
      </c>
      <c r="V104" s="28">
        <f t="shared" si="87"/>
        <v>0</v>
      </c>
      <c r="W104" s="28">
        <f t="shared" si="87"/>
        <v>0</v>
      </c>
      <c r="X104" s="28">
        <f t="shared" si="87"/>
        <v>0</v>
      </c>
      <c r="Y104" s="28">
        <f t="shared" si="87"/>
        <v>0</v>
      </c>
      <c r="Z104" s="28">
        <f t="shared" si="87"/>
        <v>0</v>
      </c>
      <c r="AA104" s="28">
        <f t="shared" si="87"/>
        <v>0</v>
      </c>
      <c r="AB104" s="28">
        <f t="shared" si="87"/>
        <v>0</v>
      </c>
      <c r="AC104" s="28">
        <f t="shared" si="87"/>
        <v>0</v>
      </c>
      <c r="AD104" s="28">
        <f t="shared" si="87"/>
        <v>0</v>
      </c>
      <c r="AE104" s="28">
        <f t="shared" si="87"/>
        <v>0</v>
      </c>
      <c r="AF104" s="28">
        <f t="shared" si="87"/>
        <v>0</v>
      </c>
      <c r="AG104" s="28">
        <f t="shared" si="87"/>
        <v>0</v>
      </c>
      <c r="AH104" s="28">
        <f t="shared" si="87"/>
        <v>0</v>
      </c>
      <c r="AI104" s="28">
        <f t="shared" si="87"/>
        <v>0</v>
      </c>
      <c r="AJ104" s="28">
        <f t="shared" si="87"/>
        <v>0</v>
      </c>
      <c r="AK104" s="28">
        <f t="shared" si="87"/>
        <v>0</v>
      </c>
      <c r="AL104" s="28">
        <f t="shared" si="87"/>
        <v>0</v>
      </c>
      <c r="AM104" s="28">
        <f t="shared" si="87"/>
        <v>0</v>
      </c>
      <c r="AN104" s="28">
        <f t="shared" si="87"/>
        <v>0</v>
      </c>
      <c r="AO104" s="28">
        <f t="shared" si="87"/>
        <v>0</v>
      </c>
      <c r="AP104" s="28">
        <f t="shared" si="87"/>
        <v>0</v>
      </c>
      <c r="AQ104" s="28">
        <f t="shared" si="87"/>
        <v>0</v>
      </c>
      <c r="AR104" s="28">
        <f t="shared" si="87"/>
        <v>0</v>
      </c>
      <c r="AS104" s="28">
        <f t="shared" si="87"/>
        <v>0</v>
      </c>
      <c r="AT104" s="28">
        <f t="shared" si="87"/>
        <v>0</v>
      </c>
      <c r="AU104" s="28">
        <f t="shared" si="87"/>
        <v>0</v>
      </c>
      <c r="AV104" s="28">
        <f t="shared" si="87"/>
        <v>0</v>
      </c>
      <c r="AW104" s="28">
        <f t="shared" si="87"/>
        <v>0</v>
      </c>
      <c r="AX104" s="28">
        <f t="shared" si="87"/>
        <v>0</v>
      </c>
      <c r="AY104" s="28">
        <f t="shared" si="87"/>
        <v>0</v>
      </c>
      <c r="AZ104" s="28">
        <f t="shared" si="87"/>
        <v>0</v>
      </c>
      <c r="BA104" s="28">
        <f t="shared" si="87"/>
        <v>0</v>
      </c>
      <c r="BB104" s="28">
        <f t="shared" si="87"/>
        <v>0</v>
      </c>
      <c r="BC104" s="28">
        <f t="shared" si="87"/>
        <v>0</v>
      </c>
      <c r="BD104" s="28">
        <f t="shared" si="87"/>
        <v>0</v>
      </c>
      <c r="BE104" s="28">
        <f t="shared" si="87"/>
        <v>0</v>
      </c>
      <c r="BF104" s="3"/>
      <c r="BJ104" s="3"/>
      <c r="BL104" s="1"/>
      <c r="BM104" s="1"/>
      <c r="BQ104" s="1"/>
      <c r="BR104" s="1"/>
      <c r="BS104" s="1"/>
      <c r="BT104" s="1"/>
      <c r="BU104" s="1"/>
      <c r="BV104" s="21" t="s">
        <v>1</v>
      </c>
    </row>
    <row r="105" spans="13:74" ht="19.5" customHeight="1">
      <c r="M105" s="21" t="s">
        <v>1</v>
      </c>
      <c r="Q105" s="28">
        <f aca="true" t="shared" si="88" ref="Q105:BE105">IF($BG$69=0,0,IF(Q$75=0,0,1))</f>
        <v>0</v>
      </c>
      <c r="R105" s="28">
        <f t="shared" si="88"/>
        <v>0</v>
      </c>
      <c r="S105" s="28">
        <f t="shared" si="88"/>
        <v>0</v>
      </c>
      <c r="T105" s="28">
        <f t="shared" si="88"/>
        <v>0</v>
      </c>
      <c r="U105" s="28">
        <f t="shared" si="88"/>
        <v>0</v>
      </c>
      <c r="V105" s="28">
        <f t="shared" si="88"/>
        <v>0</v>
      </c>
      <c r="W105" s="28">
        <f t="shared" si="88"/>
        <v>0</v>
      </c>
      <c r="X105" s="28">
        <f t="shared" si="88"/>
        <v>0</v>
      </c>
      <c r="Y105" s="28">
        <f t="shared" si="88"/>
        <v>0</v>
      </c>
      <c r="Z105" s="28">
        <f t="shared" si="88"/>
        <v>0</v>
      </c>
      <c r="AA105" s="28">
        <f t="shared" si="88"/>
        <v>0</v>
      </c>
      <c r="AB105" s="28">
        <f t="shared" si="88"/>
        <v>0</v>
      </c>
      <c r="AC105" s="28">
        <f t="shared" si="88"/>
        <v>0</v>
      </c>
      <c r="AD105" s="28">
        <f t="shared" si="88"/>
        <v>0</v>
      </c>
      <c r="AE105" s="28">
        <f t="shared" si="88"/>
        <v>0</v>
      </c>
      <c r="AF105" s="28">
        <f t="shared" si="88"/>
        <v>0</v>
      </c>
      <c r="AG105" s="28">
        <f t="shared" si="88"/>
        <v>0</v>
      </c>
      <c r="AH105" s="28">
        <f t="shared" si="88"/>
        <v>0</v>
      </c>
      <c r="AI105" s="28">
        <f t="shared" si="88"/>
        <v>0</v>
      </c>
      <c r="AJ105" s="28">
        <f t="shared" si="88"/>
        <v>0</v>
      </c>
      <c r="AK105" s="28">
        <f t="shared" si="88"/>
        <v>0</v>
      </c>
      <c r="AL105" s="28">
        <f t="shared" si="88"/>
        <v>0</v>
      </c>
      <c r="AM105" s="28">
        <f t="shared" si="88"/>
        <v>0</v>
      </c>
      <c r="AN105" s="28">
        <f t="shared" si="88"/>
        <v>0</v>
      </c>
      <c r="AO105" s="28">
        <f t="shared" si="88"/>
        <v>0</v>
      </c>
      <c r="AP105" s="28">
        <f t="shared" si="88"/>
        <v>0</v>
      </c>
      <c r="AQ105" s="28">
        <f t="shared" si="88"/>
        <v>0</v>
      </c>
      <c r="AR105" s="28">
        <f t="shared" si="88"/>
        <v>0</v>
      </c>
      <c r="AS105" s="28">
        <f t="shared" si="88"/>
        <v>0</v>
      </c>
      <c r="AT105" s="28">
        <f t="shared" si="88"/>
        <v>0</v>
      </c>
      <c r="AU105" s="28">
        <f t="shared" si="88"/>
        <v>0</v>
      </c>
      <c r="AV105" s="28">
        <f t="shared" si="88"/>
        <v>0</v>
      </c>
      <c r="AW105" s="28">
        <f t="shared" si="88"/>
        <v>0</v>
      </c>
      <c r="AX105" s="28">
        <f t="shared" si="88"/>
        <v>0</v>
      </c>
      <c r="AY105" s="28">
        <f t="shared" si="88"/>
        <v>0</v>
      </c>
      <c r="AZ105" s="28">
        <f t="shared" si="88"/>
        <v>0</v>
      </c>
      <c r="BA105" s="28">
        <f t="shared" si="88"/>
        <v>0</v>
      </c>
      <c r="BB105" s="28">
        <f t="shared" si="88"/>
        <v>0</v>
      </c>
      <c r="BC105" s="28">
        <f t="shared" si="88"/>
        <v>0</v>
      </c>
      <c r="BD105" s="28">
        <f t="shared" si="88"/>
        <v>0</v>
      </c>
      <c r="BE105" s="28">
        <f t="shared" si="88"/>
        <v>0</v>
      </c>
      <c r="BF105" s="3"/>
      <c r="BJ105" s="3"/>
      <c r="BK105" s="1"/>
      <c r="BL105" s="1"/>
      <c r="BM105" s="1"/>
      <c r="BQ105" s="1"/>
      <c r="BR105" s="1"/>
      <c r="BS105" s="1"/>
      <c r="BT105" s="1"/>
      <c r="BU105" s="1"/>
      <c r="BV105" s="21" t="s">
        <v>1</v>
      </c>
    </row>
    <row r="106" spans="2:74" ht="19.5" customHeight="1">
      <c r="B106" s="104"/>
      <c r="C106" s="122"/>
      <c r="D106" s="46"/>
      <c r="E106" s="46"/>
      <c r="G106" s="46"/>
      <c r="H106" s="46"/>
      <c r="I106" s="112"/>
      <c r="J106" s="46"/>
      <c r="K106" s="46"/>
      <c r="M106" s="21" t="s">
        <v>1</v>
      </c>
      <c r="O106" s="21" t="s">
        <v>97</v>
      </c>
      <c r="Q106" s="28">
        <f aca="true" t="shared" si="89" ref="Q106:BE106">IF($BG$70=0,0,IF(Q$75=0,0,1))</f>
        <v>0</v>
      </c>
      <c r="R106" s="28">
        <f t="shared" si="89"/>
        <v>0</v>
      </c>
      <c r="S106" s="28">
        <f t="shared" si="89"/>
        <v>0</v>
      </c>
      <c r="T106" s="28">
        <f t="shared" si="89"/>
        <v>0</v>
      </c>
      <c r="U106" s="28">
        <f t="shared" si="89"/>
        <v>0</v>
      </c>
      <c r="V106" s="28">
        <f t="shared" si="89"/>
        <v>0</v>
      </c>
      <c r="W106" s="28">
        <f t="shared" si="89"/>
        <v>0</v>
      </c>
      <c r="X106" s="28">
        <f t="shared" si="89"/>
        <v>0</v>
      </c>
      <c r="Y106" s="28">
        <f t="shared" si="89"/>
        <v>0</v>
      </c>
      <c r="Z106" s="28">
        <f t="shared" si="89"/>
        <v>0</v>
      </c>
      <c r="AA106" s="28">
        <f t="shared" si="89"/>
        <v>0</v>
      </c>
      <c r="AB106" s="28">
        <f t="shared" si="89"/>
        <v>0</v>
      </c>
      <c r="AC106" s="28">
        <f t="shared" si="89"/>
        <v>0</v>
      </c>
      <c r="AD106" s="28">
        <f t="shared" si="89"/>
        <v>0</v>
      </c>
      <c r="AE106" s="28">
        <f t="shared" si="89"/>
        <v>0</v>
      </c>
      <c r="AF106" s="28">
        <f t="shared" si="89"/>
        <v>0</v>
      </c>
      <c r="AG106" s="28">
        <f t="shared" si="89"/>
        <v>0</v>
      </c>
      <c r="AH106" s="28">
        <f t="shared" si="89"/>
        <v>0</v>
      </c>
      <c r="AI106" s="28">
        <f t="shared" si="89"/>
        <v>0</v>
      </c>
      <c r="AJ106" s="28">
        <f t="shared" si="89"/>
        <v>0</v>
      </c>
      <c r="AK106" s="28">
        <f t="shared" si="89"/>
        <v>0</v>
      </c>
      <c r="AL106" s="28">
        <f t="shared" si="89"/>
        <v>0</v>
      </c>
      <c r="AM106" s="28">
        <f t="shared" si="89"/>
        <v>0</v>
      </c>
      <c r="AN106" s="28">
        <f t="shared" si="89"/>
        <v>0</v>
      </c>
      <c r="AO106" s="28">
        <f t="shared" si="89"/>
        <v>0</v>
      </c>
      <c r="AP106" s="28">
        <f t="shared" si="89"/>
        <v>0</v>
      </c>
      <c r="AQ106" s="28">
        <f t="shared" si="89"/>
        <v>0</v>
      </c>
      <c r="AR106" s="28">
        <f t="shared" si="89"/>
        <v>0</v>
      </c>
      <c r="AS106" s="28">
        <f t="shared" si="89"/>
        <v>0</v>
      </c>
      <c r="AT106" s="28">
        <f t="shared" si="89"/>
        <v>0</v>
      </c>
      <c r="AU106" s="28">
        <f t="shared" si="89"/>
        <v>0</v>
      </c>
      <c r="AV106" s="28">
        <f t="shared" si="89"/>
        <v>0</v>
      </c>
      <c r="AW106" s="28">
        <f t="shared" si="89"/>
        <v>0</v>
      </c>
      <c r="AX106" s="28">
        <f t="shared" si="89"/>
        <v>0</v>
      </c>
      <c r="AY106" s="28">
        <f t="shared" si="89"/>
        <v>0</v>
      </c>
      <c r="AZ106" s="28">
        <f t="shared" si="89"/>
        <v>0</v>
      </c>
      <c r="BA106" s="28">
        <f t="shared" si="89"/>
        <v>0</v>
      </c>
      <c r="BB106" s="28">
        <f t="shared" si="89"/>
        <v>0</v>
      </c>
      <c r="BC106" s="28">
        <f t="shared" si="89"/>
        <v>0</v>
      </c>
      <c r="BD106" s="28">
        <f t="shared" si="89"/>
        <v>0</v>
      </c>
      <c r="BE106" s="28">
        <f t="shared" si="89"/>
        <v>0</v>
      </c>
      <c r="BF106" s="3"/>
      <c r="BJ106" s="3"/>
      <c r="BK106" s="1"/>
      <c r="BL106" s="1"/>
      <c r="BM106" s="1"/>
      <c r="BQ106" s="1"/>
      <c r="BR106" s="1"/>
      <c r="BS106" s="1"/>
      <c r="BT106" s="1"/>
      <c r="BU106" s="1"/>
      <c r="BV106" s="21" t="s">
        <v>1</v>
      </c>
    </row>
    <row r="107" spans="13:74" ht="19.5" customHeight="1">
      <c r="M107" s="21" t="s">
        <v>1</v>
      </c>
      <c r="P107" s="21" t="s">
        <v>2</v>
      </c>
      <c r="Q107" s="28" t="s">
        <v>98</v>
      </c>
      <c r="V107" s="28" t="s">
        <v>98</v>
      </c>
      <c r="AA107" s="28" t="s">
        <v>98</v>
      </c>
      <c r="AF107" s="28" t="s">
        <v>98</v>
      </c>
      <c r="AK107" s="28" t="s">
        <v>98</v>
      </c>
      <c r="AP107" s="28" t="s">
        <v>98</v>
      </c>
      <c r="AU107" s="28" t="s">
        <v>98</v>
      </c>
      <c r="AW107" s="3"/>
      <c r="AX107" s="3"/>
      <c r="AY107" s="3"/>
      <c r="AZ107" s="28" t="s">
        <v>98</v>
      </c>
      <c r="BB107" s="3"/>
      <c r="BC107" s="3"/>
      <c r="BD107" s="3"/>
      <c r="BE107" s="28" t="s">
        <v>98</v>
      </c>
      <c r="BJ107" s="3"/>
      <c r="BK107" s="1"/>
      <c r="BL107" s="1"/>
      <c r="BM107" s="1"/>
      <c r="BQ107" s="1"/>
      <c r="BR107" s="1"/>
      <c r="BS107" s="1"/>
      <c r="BT107" s="1"/>
      <c r="BU107" s="1"/>
      <c r="BV107" s="21" t="s">
        <v>1</v>
      </c>
    </row>
    <row r="108" spans="13:74" ht="19.5" customHeight="1">
      <c r="M108" s="21" t="s">
        <v>1</v>
      </c>
      <c r="Q108" s="22" t="s">
        <v>52</v>
      </c>
      <c r="V108" s="22" t="s">
        <v>99</v>
      </c>
      <c r="AA108" s="22" t="s">
        <v>53</v>
      </c>
      <c r="AE108" s="3"/>
      <c r="AF108" s="22" t="s">
        <v>100</v>
      </c>
      <c r="AK108" s="36" t="s">
        <v>54</v>
      </c>
      <c r="AP108" s="22" t="s">
        <v>101</v>
      </c>
      <c r="AU108" s="22" t="s">
        <v>102</v>
      </c>
      <c r="AW108" s="3"/>
      <c r="AX108" s="3"/>
      <c r="AY108" s="3"/>
      <c r="AZ108" s="22" t="s">
        <v>103</v>
      </c>
      <c r="BB108" s="3"/>
      <c r="BC108" s="3"/>
      <c r="BD108" s="3"/>
      <c r="BE108" s="22" t="s">
        <v>104</v>
      </c>
      <c r="BF108" s="3"/>
      <c r="BJ108" s="3"/>
      <c r="BK108" s="1"/>
      <c r="BL108" s="1"/>
      <c r="BM108" s="1"/>
      <c r="BQ108" s="1"/>
      <c r="BR108" s="1"/>
      <c r="BS108" s="1"/>
      <c r="BT108" s="1"/>
      <c r="BU108" s="1"/>
      <c r="BV108" s="21" t="s">
        <v>1</v>
      </c>
    </row>
    <row r="109" spans="13:74" ht="19.5" customHeight="1">
      <c r="M109" s="21" t="s">
        <v>1</v>
      </c>
      <c r="N109" s="23" t="s">
        <v>0</v>
      </c>
      <c r="O109" s="23" t="s">
        <v>0</v>
      </c>
      <c r="P109" s="23" t="s">
        <v>0</v>
      </c>
      <c r="Q109" s="23" t="s">
        <v>0</v>
      </c>
      <c r="R109" s="23" t="s">
        <v>0</v>
      </c>
      <c r="S109" s="23" t="s">
        <v>0</v>
      </c>
      <c r="T109" s="23" t="s">
        <v>0</v>
      </c>
      <c r="U109" s="23" t="s">
        <v>0</v>
      </c>
      <c r="V109" s="23" t="s">
        <v>0</v>
      </c>
      <c r="W109" s="23" t="s">
        <v>0</v>
      </c>
      <c r="X109" s="23" t="s">
        <v>0</v>
      </c>
      <c r="Y109" s="23" t="s">
        <v>0</v>
      </c>
      <c r="Z109" s="23" t="s">
        <v>0</v>
      </c>
      <c r="AA109" s="23" t="s">
        <v>0</v>
      </c>
      <c r="AB109" s="23" t="s">
        <v>0</v>
      </c>
      <c r="AC109" s="23" t="s">
        <v>0</v>
      </c>
      <c r="AD109" s="23" t="s">
        <v>0</v>
      </c>
      <c r="AE109" s="23" t="s">
        <v>0</v>
      </c>
      <c r="AF109" s="23" t="s">
        <v>0</v>
      </c>
      <c r="AG109" s="23" t="s">
        <v>0</v>
      </c>
      <c r="AH109" s="23" t="s">
        <v>0</v>
      </c>
      <c r="AI109" s="23" t="s">
        <v>0</v>
      </c>
      <c r="AJ109" s="23" t="s">
        <v>0</v>
      </c>
      <c r="AK109" s="23" t="s">
        <v>0</v>
      </c>
      <c r="AL109" s="23" t="s">
        <v>0</v>
      </c>
      <c r="AM109" s="23" t="s">
        <v>0</v>
      </c>
      <c r="AN109" s="23" t="s">
        <v>0</v>
      </c>
      <c r="AO109" s="23" t="s">
        <v>0</v>
      </c>
      <c r="AP109" s="23" t="s">
        <v>0</v>
      </c>
      <c r="AQ109" s="23" t="s">
        <v>0</v>
      </c>
      <c r="AR109" s="23" t="s">
        <v>0</v>
      </c>
      <c r="AS109" s="23" t="s">
        <v>0</v>
      </c>
      <c r="AT109" s="23" t="s">
        <v>0</v>
      </c>
      <c r="AU109" s="23" t="s">
        <v>0</v>
      </c>
      <c r="AV109" s="23" t="s">
        <v>0</v>
      </c>
      <c r="AW109" s="23" t="s">
        <v>0</v>
      </c>
      <c r="AX109" s="23" t="s">
        <v>0</v>
      </c>
      <c r="AY109" s="23" t="s">
        <v>0</v>
      </c>
      <c r="AZ109" s="23" t="s">
        <v>0</v>
      </c>
      <c r="BA109" s="23" t="s">
        <v>0</v>
      </c>
      <c r="BB109" s="23" t="s">
        <v>0</v>
      </c>
      <c r="BC109" s="23" t="s">
        <v>0</v>
      </c>
      <c r="BD109" s="23" t="s">
        <v>0</v>
      </c>
      <c r="BE109" s="23" t="s">
        <v>0</v>
      </c>
      <c r="BF109" s="23" t="s">
        <v>0</v>
      </c>
      <c r="BG109" s="23" t="s">
        <v>0</v>
      </c>
      <c r="BH109" s="23" t="s">
        <v>0</v>
      </c>
      <c r="BI109" s="23" t="s">
        <v>0</v>
      </c>
      <c r="BJ109" s="23" t="s">
        <v>0</v>
      </c>
      <c r="BK109" s="23" t="s">
        <v>0</v>
      </c>
      <c r="BL109" s="23" t="s">
        <v>0</v>
      </c>
      <c r="BM109" s="23" t="s">
        <v>0</v>
      </c>
      <c r="BN109" s="23" t="s">
        <v>0</v>
      </c>
      <c r="BO109" s="23" t="s">
        <v>0</v>
      </c>
      <c r="BP109" s="23" t="s">
        <v>0</v>
      </c>
      <c r="BQ109" s="23" t="s">
        <v>0</v>
      </c>
      <c r="BR109" s="23" t="s">
        <v>0</v>
      </c>
      <c r="BS109" s="23" t="s">
        <v>0</v>
      </c>
      <c r="BT109" s="23" t="s">
        <v>0</v>
      </c>
      <c r="BU109" s="23" t="s">
        <v>0</v>
      </c>
      <c r="BV109" s="21" t="s">
        <v>1</v>
      </c>
    </row>
    <row r="110" ht="19.5" customHeight="1"/>
    <row r="111" spans="2:11" ht="19.5" customHeight="1">
      <c r="B111" s="123"/>
      <c r="C111" s="124"/>
      <c r="D111" s="113"/>
      <c r="E111" s="113"/>
      <c r="G111" s="113"/>
      <c r="H111" s="114"/>
      <c r="I111" s="46"/>
      <c r="J111" s="46"/>
      <c r="K111" s="113"/>
    </row>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sheetData>
  <sheetProtection sheet="1"/>
  <mergeCells count="53">
    <mergeCell ref="AX7:BA7"/>
    <mergeCell ref="BK5:BT5"/>
    <mergeCell ref="BE39:BF39"/>
    <mergeCell ref="BE40:BF40"/>
    <mergeCell ref="BB7:BE7"/>
    <mergeCell ref="AQ39:AR39"/>
    <mergeCell ref="AQ40:AR40"/>
    <mergeCell ref="BA43:BC43"/>
    <mergeCell ref="P5:AL5"/>
    <mergeCell ref="AM5:BA5"/>
    <mergeCell ref="BE38:BF38"/>
    <mergeCell ref="O7:AL7"/>
    <mergeCell ref="BA38:BC38"/>
    <mergeCell ref="BA42:BC42"/>
    <mergeCell ref="U39:V39"/>
    <mergeCell ref="U40:V40"/>
    <mergeCell ref="U38:V38"/>
    <mergeCell ref="AF38:AG38"/>
    <mergeCell ref="BA39:BC39"/>
    <mergeCell ref="BA40:BC40"/>
    <mergeCell ref="BA41:BC41"/>
    <mergeCell ref="Z41:AD41"/>
    <mergeCell ref="AQ41:AR41"/>
    <mergeCell ref="AI44:AJ44"/>
    <mergeCell ref="AM38:AQ38"/>
    <mergeCell ref="B2:C2"/>
    <mergeCell ref="B3:C3"/>
    <mergeCell ref="B4:C4"/>
    <mergeCell ref="B5:C5"/>
    <mergeCell ref="AQ44:AR44"/>
    <mergeCell ref="Y43:Z43"/>
    <mergeCell ref="AR38:AS38"/>
    <mergeCell ref="AE43:AH43"/>
    <mergeCell ref="AF44:AH44"/>
    <mergeCell ref="AI43:AJ43"/>
    <mergeCell ref="BD44:BF44"/>
    <mergeCell ref="D2:K2"/>
    <mergeCell ref="D3:K3"/>
    <mergeCell ref="D4:K4"/>
    <mergeCell ref="D5:K5"/>
    <mergeCell ref="BE42:BF42"/>
    <mergeCell ref="Y44:Z44"/>
    <mergeCell ref="AF39:AG39"/>
    <mergeCell ref="BE43:BF43"/>
    <mergeCell ref="BE41:BF41"/>
    <mergeCell ref="AS7:AW7"/>
    <mergeCell ref="BB5:BF5"/>
    <mergeCell ref="O37:AH37"/>
    <mergeCell ref="AJ37:AS37"/>
    <mergeCell ref="AU37:BF37"/>
    <mergeCell ref="AQ42:AR42"/>
    <mergeCell ref="AM7:AR7"/>
    <mergeCell ref="AF40:AG40"/>
  </mergeCell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55" r:id="rId1"/>
  <headerFooter scaleWithDoc="0" alignWithMargins="0">
    <oddFooter>&amp;C&amp;10Le Service Entreprise Provincial de la CSC du Hainaut vous informe sur l'état de santé de votre association sur base de ses derniers comptes annuels</oddFooter>
  </headerFooter>
  <ignoredErrors>
    <ignoredError sqref="Q33:BE33 BL10:BL44 C13:C20 I27:I28 BL51:BL84" numberStoredAsText="1"/>
    <ignoredError sqref="I13" twoDigitTextYear="1"/>
    <ignoredError sqref="I14:I18" numberStoredAsText="1" twoDigitTextYear="1"/>
    <ignoredError sqref="AA10:AR23" evalError="1"/>
    <ignoredError sqref="AK51:AK60 AK61:AK73 Q60:AJ60 AL60:BE60" formula="1"/>
  </ignoredErrors>
</worksheet>
</file>

<file path=xl/worksheets/sheet2.xml><?xml version="1.0" encoding="utf-8"?>
<worksheet xmlns="http://schemas.openxmlformats.org/spreadsheetml/2006/main" xmlns:r="http://schemas.openxmlformats.org/officeDocument/2006/relationships">
  <dimension ref="B1:B47"/>
  <sheetViews>
    <sheetView zoomScalePageLayoutView="0" workbookViewId="0" topLeftCell="A1">
      <selection activeCell="A1" sqref="A1"/>
    </sheetView>
  </sheetViews>
  <sheetFormatPr defaultColWidth="11.19921875" defaultRowHeight="15"/>
  <cols>
    <col min="1" max="1" width="2.796875" style="0" customWidth="1"/>
    <col min="2" max="2" width="119.8984375" style="0" customWidth="1"/>
    <col min="3" max="3" width="2.796875" style="0" customWidth="1"/>
  </cols>
  <sheetData>
    <row r="1" ht="15.75" thickBot="1">
      <c r="B1" s="221"/>
    </row>
    <row r="2" ht="15">
      <c r="B2" s="222" t="s">
        <v>268</v>
      </c>
    </row>
    <row r="3" ht="22.5" customHeight="1">
      <c r="B3" s="223" t="s">
        <v>303</v>
      </c>
    </row>
    <row r="4" ht="15">
      <c r="B4" s="224" t="s">
        <v>269</v>
      </c>
    </row>
    <row r="5" ht="28.5" customHeight="1">
      <c r="B5" s="225" t="s">
        <v>270</v>
      </c>
    </row>
    <row r="6" ht="30.75" customHeight="1">
      <c r="B6" s="226" t="s">
        <v>271</v>
      </c>
    </row>
    <row r="7" ht="93" customHeight="1">
      <c r="B7" s="226" t="s">
        <v>272</v>
      </c>
    </row>
    <row r="8" ht="94.5" customHeight="1">
      <c r="B8" s="226" t="s">
        <v>273</v>
      </c>
    </row>
    <row r="9" ht="79.5" customHeight="1">
      <c r="B9" s="226" t="s">
        <v>274</v>
      </c>
    </row>
    <row r="10" ht="123" customHeight="1">
      <c r="B10" s="226" t="s">
        <v>275</v>
      </c>
    </row>
    <row r="11" ht="15">
      <c r="B11" s="226"/>
    </row>
    <row r="12" ht="15">
      <c r="B12" s="225" t="s">
        <v>276</v>
      </c>
    </row>
    <row r="13" ht="36" customHeight="1">
      <c r="B13" s="226" t="s">
        <v>277</v>
      </c>
    </row>
    <row r="14" ht="114" customHeight="1">
      <c r="B14" s="226" t="s">
        <v>278</v>
      </c>
    </row>
    <row r="15" ht="105" customHeight="1">
      <c r="B15" s="226" t="s">
        <v>304</v>
      </c>
    </row>
    <row r="16" ht="137.25" customHeight="1">
      <c r="B16" s="226" t="s">
        <v>279</v>
      </c>
    </row>
    <row r="17" ht="118.5" customHeight="1">
      <c r="B17" s="226" t="s">
        <v>280</v>
      </c>
    </row>
    <row r="18" ht="15">
      <c r="B18" s="226"/>
    </row>
    <row r="19" ht="15">
      <c r="B19" s="225" t="s">
        <v>281</v>
      </c>
    </row>
    <row r="20" ht="34.5" customHeight="1">
      <c r="B20" s="226" t="s">
        <v>282</v>
      </c>
    </row>
    <row r="21" ht="82.5" customHeight="1">
      <c r="B21" s="226" t="s">
        <v>283</v>
      </c>
    </row>
    <row r="22" ht="132.75" customHeight="1">
      <c r="B22" s="226" t="s">
        <v>284</v>
      </c>
    </row>
    <row r="23" ht="15">
      <c r="B23" s="226"/>
    </row>
    <row r="24" ht="15">
      <c r="B24" s="224" t="s">
        <v>285</v>
      </c>
    </row>
    <row r="25" ht="60" customHeight="1">
      <c r="B25" s="226" t="s">
        <v>286</v>
      </c>
    </row>
    <row r="26" ht="51" customHeight="1">
      <c r="B26" s="226" t="s">
        <v>287</v>
      </c>
    </row>
    <row r="27" ht="57.75" customHeight="1">
      <c r="B27" s="226" t="s">
        <v>288</v>
      </c>
    </row>
    <row r="28" ht="57.75" customHeight="1">
      <c r="B28" s="226" t="s">
        <v>289</v>
      </c>
    </row>
    <row r="29" ht="41.25" customHeight="1">
      <c r="B29" s="226" t="s">
        <v>290</v>
      </c>
    </row>
    <row r="30" ht="60" customHeight="1">
      <c r="B30" s="226" t="s">
        <v>291</v>
      </c>
    </row>
    <row r="31" ht="59.25" customHeight="1">
      <c r="B31" s="226" t="s">
        <v>292</v>
      </c>
    </row>
    <row r="32" ht="40.5" customHeight="1">
      <c r="B32" s="226" t="s">
        <v>293</v>
      </c>
    </row>
    <row r="33" ht="114" customHeight="1">
      <c r="B33" s="226" t="s">
        <v>294</v>
      </c>
    </row>
    <row r="34" ht="93" customHeight="1">
      <c r="B34" s="226" t="s">
        <v>295</v>
      </c>
    </row>
    <row r="35" ht="138.75" customHeight="1">
      <c r="B35" s="226" t="s">
        <v>296</v>
      </c>
    </row>
    <row r="36" ht="63.75" customHeight="1">
      <c r="B36" s="269" t="s">
        <v>305</v>
      </c>
    </row>
    <row r="37" ht="15">
      <c r="B37" s="226"/>
    </row>
    <row r="38" ht="22.5" customHeight="1">
      <c r="B38" s="224" t="s">
        <v>297</v>
      </c>
    </row>
    <row r="39" ht="66" customHeight="1">
      <c r="B39" s="226" t="s">
        <v>298</v>
      </c>
    </row>
    <row r="40" ht="105" customHeight="1">
      <c r="B40" s="226" t="s">
        <v>306</v>
      </c>
    </row>
    <row r="41" ht="92.25" customHeight="1">
      <c r="B41" s="226" t="s">
        <v>299</v>
      </c>
    </row>
    <row r="42" ht="87" customHeight="1">
      <c r="B42" s="226" t="s">
        <v>300</v>
      </c>
    </row>
    <row r="43" ht="102.75" customHeight="1">
      <c r="B43" s="226" t="s">
        <v>301</v>
      </c>
    </row>
    <row r="44" ht="102" customHeight="1">
      <c r="B44" s="226" t="s">
        <v>302</v>
      </c>
    </row>
    <row r="45" ht="15.75" thickBot="1">
      <c r="B45" s="227"/>
    </row>
    <row r="46" ht="15">
      <c r="B46" s="221"/>
    </row>
    <row r="47" ht="15">
      <c r="B47" s="221"/>
    </row>
  </sheetData>
  <sheetProtection sheet="1"/>
  <printOptions/>
  <pageMargins left="0.7" right="0.7" top="0.75" bottom="0.75" header="0.3" footer="0.3"/>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ACV-CSC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u69avi</dc:creator>
  <cp:keywords/>
  <dc:description/>
  <cp:lastModifiedBy>Attilio Virga</cp:lastModifiedBy>
  <cp:lastPrinted>2023-10-25T10:07:15Z</cp:lastPrinted>
  <dcterms:created xsi:type="dcterms:W3CDTF">2009-10-16T15:06:44Z</dcterms:created>
  <dcterms:modified xsi:type="dcterms:W3CDTF">2023-10-25T10:07:19Z</dcterms:modified>
  <cp:category/>
  <cp:version/>
  <cp:contentType/>
  <cp:contentStatus/>
</cp:coreProperties>
</file>